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wb320943\Desktop\"/>
    </mc:Choice>
  </mc:AlternateContent>
  <xr:revisionPtr revIDLastSave="0" documentId="8_{EB65C63D-F83F-4AEA-9060-EF79B53D8AFE}" xr6:coauthVersionLast="31" xr6:coauthVersionMax="31" xr10:uidLastSave="{00000000-0000-0000-0000-000000000000}"/>
  <bookViews>
    <workbookView xWindow="0" yWindow="0" windowWidth="20496" windowHeight="7752" tabRatio="500" activeTab="1" xr2:uid="{00000000-000D-0000-FFFF-FFFF00000000}"/>
  </bookViews>
  <sheets>
    <sheet name="Reconstitution GPE" sheetId="10" r:id="rId1"/>
    <sheet name="Reconstitution GPE OK" sheetId="15" r:id="rId2"/>
    <sheet name="Tableau de comparaison" sheetId="13" r:id="rId3"/>
    <sheet name="Données 2016 du GPE" sheetId="12" r:id="rId4"/>
    <sheet name="Feuil1" sheetId="14" r:id="rId5"/>
  </sheets>
  <definedNames>
    <definedName name="_xlnm.Print_Area" localSheetId="3">'Données 2016 du GPE'!$A$1:$M$102</definedName>
    <definedName name="_xlnm.Print_Area" localSheetId="0">'Reconstitution GPE'!$A$1:$K$18</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J16" i="15" l="1"/>
  <c r="G15" i="15" l="1"/>
  <c r="G14" i="15"/>
  <c r="H5" i="14" l="1"/>
  <c r="I5" i="14"/>
  <c r="G12" i="15" s="1"/>
  <c r="G10" i="15" s="1"/>
  <c r="J5" i="14"/>
  <c r="H12" i="15" s="1"/>
  <c r="H10" i="15" s="1"/>
  <c r="K5" i="14"/>
  <c r="I12" i="15" s="1"/>
  <c r="I10" i="15" s="1"/>
  <c r="L5" i="14"/>
  <c r="J12" i="15" s="1"/>
  <c r="J10" i="15" s="1"/>
  <c r="M5" i="14"/>
  <c r="N5" i="14"/>
  <c r="G5" i="14"/>
  <c r="J11" i="15" l="1"/>
  <c r="I11" i="15"/>
  <c r="H11" i="15"/>
  <c r="G11" i="15"/>
  <c r="D10" i="15" l="1"/>
  <c r="I18" i="15" l="1"/>
  <c r="J17" i="15"/>
  <c r="J5" i="15" s="1"/>
  <c r="I17" i="15"/>
  <c r="G13" i="15"/>
  <c r="G17" i="15"/>
  <c r="J18" i="15"/>
  <c r="J13" i="15"/>
  <c r="F12" i="15"/>
  <c r="F10" i="15" s="1"/>
  <c r="E12" i="15"/>
  <c r="E10" i="15" s="1"/>
  <c r="D12" i="15"/>
  <c r="E11" i="15"/>
  <c r="D11" i="15"/>
  <c r="J9" i="15"/>
  <c r="J6" i="15" s="1"/>
  <c r="D3" i="15"/>
  <c r="D3" i="10"/>
  <c r="V6" i="13"/>
  <c r="V5" i="13" s="1"/>
  <c r="U6" i="13"/>
  <c r="T6" i="13"/>
  <c r="S6" i="13"/>
  <c r="V7" i="13"/>
  <c r="U7" i="13"/>
  <c r="T7" i="13"/>
  <c r="S7" i="13"/>
  <c r="V10" i="13"/>
  <c r="U10" i="13"/>
  <c r="U9" i="13" s="1"/>
  <c r="T10" i="13"/>
  <c r="V11" i="13"/>
  <c r="U11" i="13"/>
  <c r="T11" i="13"/>
  <c r="S11" i="13"/>
  <c r="S10" i="13"/>
  <c r="S9" i="13" s="1"/>
  <c r="O10" i="13"/>
  <c r="O9" i="13" s="1"/>
  <c r="O11" i="13"/>
  <c r="O7" i="13"/>
  <c r="O6" i="13"/>
  <c r="J11" i="13"/>
  <c r="J10" i="13"/>
  <c r="J9" i="13" s="1"/>
  <c r="J7" i="13"/>
  <c r="J6" i="13"/>
  <c r="V17" i="12"/>
  <c r="F11" i="10" s="1"/>
  <c r="N7" i="13" s="1"/>
  <c r="V16" i="12"/>
  <c r="F12" i="10"/>
  <c r="V33" i="12"/>
  <c r="V32" i="12"/>
  <c r="V35" i="12"/>
  <c r="V34" i="12" s="1"/>
  <c r="V37" i="12"/>
  <c r="V36" i="12" s="1"/>
  <c r="R39" i="12"/>
  <c r="V39" i="12" s="1"/>
  <c r="R40" i="12"/>
  <c r="V40" i="12" s="1"/>
  <c r="R41" i="12"/>
  <c r="V41" i="12" s="1"/>
  <c r="R43" i="12"/>
  <c r="V43" i="12" s="1"/>
  <c r="R44" i="12"/>
  <c r="V44" i="12" s="1"/>
  <c r="R45" i="12"/>
  <c r="V45" i="12" s="1"/>
  <c r="R46" i="12"/>
  <c r="V46" i="12"/>
  <c r="R47" i="12"/>
  <c r="V47" i="12" s="1"/>
  <c r="R48" i="12"/>
  <c r="V48" i="12" s="1"/>
  <c r="R49" i="12"/>
  <c r="V49" i="12" s="1"/>
  <c r="V71" i="12"/>
  <c r="V72" i="12"/>
  <c r="J8" i="13"/>
  <c r="P32" i="12"/>
  <c r="P33" i="12"/>
  <c r="L36" i="12"/>
  <c r="H32" i="12"/>
  <c r="I32" i="12"/>
  <c r="L37" i="12"/>
  <c r="H33" i="12"/>
  <c r="I33" i="12"/>
  <c r="P70" i="12"/>
  <c r="P51" i="12"/>
  <c r="P27" i="12"/>
  <c r="P71" i="12" s="1"/>
  <c r="P72" i="12"/>
  <c r="E5" i="13"/>
  <c r="P16" i="12"/>
  <c r="P21" i="12" s="1"/>
  <c r="E10" i="10"/>
  <c r="I6" i="13" s="1"/>
  <c r="E11" i="10"/>
  <c r="I7" i="13" s="1"/>
  <c r="E12" i="10"/>
  <c r="I8" i="13" s="1"/>
  <c r="K8" i="13" s="1"/>
  <c r="L8" i="13" s="1"/>
  <c r="I36" i="12"/>
  <c r="I37" i="12"/>
  <c r="I70" i="12"/>
  <c r="I27" i="12"/>
  <c r="I71" i="12" s="1"/>
  <c r="I72" i="12"/>
  <c r="D12" i="10"/>
  <c r="D8" i="13" s="1"/>
  <c r="F8" i="13" s="1"/>
  <c r="G8" i="13" s="1"/>
  <c r="D11" i="10"/>
  <c r="D7" i="13" s="1"/>
  <c r="F7" i="13" s="1"/>
  <c r="G7" i="13" s="1"/>
  <c r="D10" i="10"/>
  <c r="D6" i="13" s="1"/>
  <c r="F6" i="13" s="1"/>
  <c r="G6" i="13" s="1"/>
  <c r="G17" i="10"/>
  <c r="G5" i="10" s="1"/>
  <c r="J17" i="10"/>
  <c r="J5" i="10" s="1"/>
  <c r="I17" i="10"/>
  <c r="I5" i="10" s="1"/>
  <c r="H17" i="10"/>
  <c r="H5" i="10" s="1"/>
  <c r="G9" i="10"/>
  <c r="G13" i="10"/>
  <c r="G16" i="10" s="1"/>
  <c r="H13" i="10"/>
  <c r="J12" i="12"/>
  <c r="M12" i="12" s="1"/>
  <c r="R12" i="12"/>
  <c r="V12" i="12" s="1"/>
  <c r="J13" i="12"/>
  <c r="M13" i="12"/>
  <c r="R13" i="12"/>
  <c r="V13" i="12" s="1"/>
  <c r="H14" i="12"/>
  <c r="I14" i="12"/>
  <c r="J14" i="12" s="1"/>
  <c r="L14" i="12"/>
  <c r="O14" i="12"/>
  <c r="P14" i="12"/>
  <c r="R14" i="12" s="1"/>
  <c r="T14" i="12"/>
  <c r="J16" i="12"/>
  <c r="M16" i="12" s="1"/>
  <c r="O16" i="12"/>
  <c r="O21" i="12" s="1"/>
  <c r="R16" i="12"/>
  <c r="T17" i="12"/>
  <c r="T16" i="12" s="1"/>
  <c r="T21" i="12" s="1"/>
  <c r="J17" i="12"/>
  <c r="M17" i="12" s="1"/>
  <c r="R17" i="12"/>
  <c r="J20" i="12"/>
  <c r="M20" i="12" s="1"/>
  <c r="R20" i="12"/>
  <c r="F21" i="12"/>
  <c r="H21" i="12"/>
  <c r="I21" i="12"/>
  <c r="L21" i="12"/>
  <c r="J23" i="12"/>
  <c r="M23" i="12"/>
  <c r="R23" i="12"/>
  <c r="J24" i="12"/>
  <c r="M24" i="12" s="1"/>
  <c r="M27" i="12" s="1"/>
  <c r="R24" i="12"/>
  <c r="V24" i="12" s="1"/>
  <c r="J25" i="12"/>
  <c r="M25" i="12" s="1"/>
  <c r="R25" i="12"/>
  <c r="V25" i="12" s="1"/>
  <c r="J26" i="12"/>
  <c r="M26" i="12" s="1"/>
  <c r="R26" i="12"/>
  <c r="V26" i="12" s="1"/>
  <c r="F27" i="12"/>
  <c r="F71" i="12" s="1"/>
  <c r="H27" i="12"/>
  <c r="H71" i="12" s="1"/>
  <c r="L27" i="12"/>
  <c r="L71" i="12" s="1"/>
  <c r="O27" i="12"/>
  <c r="O71" i="12" s="1"/>
  <c r="J28" i="12"/>
  <c r="M28" i="12" s="1"/>
  <c r="M60" i="12" s="1"/>
  <c r="M72" i="12" s="1"/>
  <c r="R28" i="12"/>
  <c r="V28" i="12" s="1"/>
  <c r="L32" i="12"/>
  <c r="L75" i="12" s="1"/>
  <c r="L77" i="12" s="1"/>
  <c r="O32" i="12"/>
  <c r="T33" i="12"/>
  <c r="T32" i="12" s="1"/>
  <c r="L33" i="12"/>
  <c r="O33" i="12"/>
  <c r="R33" i="12"/>
  <c r="T35" i="12"/>
  <c r="T34" i="12" s="1"/>
  <c r="O36" i="12"/>
  <c r="T37" i="12"/>
  <c r="T36" i="12"/>
  <c r="O37" i="12"/>
  <c r="J39" i="12"/>
  <c r="M39" i="12" s="1"/>
  <c r="J40" i="12"/>
  <c r="M40" i="12" s="1"/>
  <c r="J41" i="12"/>
  <c r="M41" i="12" s="1"/>
  <c r="J43" i="12"/>
  <c r="M43" i="12" s="1"/>
  <c r="J44" i="12"/>
  <c r="M44" i="12" s="1"/>
  <c r="J45" i="12"/>
  <c r="M45" i="12" s="1"/>
  <c r="J46" i="12"/>
  <c r="M46" i="12"/>
  <c r="J47" i="12"/>
  <c r="M47" i="12" s="1"/>
  <c r="J48" i="12"/>
  <c r="M48" i="12" s="1"/>
  <c r="J49" i="12"/>
  <c r="M49" i="12" s="1"/>
  <c r="J51" i="12"/>
  <c r="M51" i="12" s="1"/>
  <c r="R51" i="12"/>
  <c r="J52" i="12"/>
  <c r="M52" i="12" s="1"/>
  <c r="R52" i="12"/>
  <c r="J53" i="12"/>
  <c r="M53" i="12" s="1"/>
  <c r="R53" i="12"/>
  <c r="J54" i="12"/>
  <c r="M54" i="12" s="1"/>
  <c r="R54" i="12"/>
  <c r="J55" i="12"/>
  <c r="M55" i="12" s="1"/>
  <c r="R55" i="12"/>
  <c r="R56" i="12"/>
  <c r="J57" i="12"/>
  <c r="M57" i="12" s="1"/>
  <c r="R57" i="12"/>
  <c r="J58" i="12"/>
  <c r="M58" i="12" s="1"/>
  <c r="R58" i="12"/>
  <c r="J60" i="12"/>
  <c r="R60" i="12"/>
  <c r="J63" i="12"/>
  <c r="M63" i="12"/>
  <c r="R63" i="12"/>
  <c r="J64" i="12"/>
  <c r="M64" i="12" s="1"/>
  <c r="R64" i="12"/>
  <c r="J65" i="12"/>
  <c r="M65" i="12"/>
  <c r="R65" i="12"/>
  <c r="J66" i="12"/>
  <c r="M66" i="12" s="1"/>
  <c r="R66" i="12"/>
  <c r="F69" i="12"/>
  <c r="F70" i="12"/>
  <c r="H70" i="12"/>
  <c r="L70" i="12"/>
  <c r="O70" i="12"/>
  <c r="T70" i="12"/>
  <c r="T71" i="12"/>
  <c r="F72" i="12"/>
  <c r="H72" i="12"/>
  <c r="L72" i="12"/>
  <c r="O72" i="12"/>
  <c r="T72" i="12"/>
  <c r="F75" i="12"/>
  <c r="F77" i="12" s="1"/>
  <c r="J18" i="10"/>
  <c r="I18" i="10"/>
  <c r="H18" i="10"/>
  <c r="G18" i="10"/>
  <c r="J13" i="10"/>
  <c r="J9" i="10"/>
  <c r="I13" i="10"/>
  <c r="I9" i="10"/>
  <c r="I16" i="10" s="1"/>
  <c r="H9" i="10"/>
  <c r="R21" i="12" l="1"/>
  <c r="I75" i="12"/>
  <c r="O5" i="13"/>
  <c r="V9" i="13"/>
  <c r="K6" i="13"/>
  <c r="L6" i="13" s="1"/>
  <c r="T9" i="13"/>
  <c r="U5" i="13"/>
  <c r="I5" i="15"/>
  <c r="G5" i="15"/>
  <c r="F73" i="12"/>
  <c r="F11" i="15"/>
  <c r="V21" i="12"/>
  <c r="J33" i="12"/>
  <c r="J37" i="12" s="1"/>
  <c r="H16" i="10"/>
  <c r="D9" i="10"/>
  <c r="D5" i="13" s="1"/>
  <c r="F5" i="13" s="1"/>
  <c r="G5" i="13" s="1"/>
  <c r="D9" i="15"/>
  <c r="F74" i="12"/>
  <c r="F76" i="12"/>
  <c r="D14" i="15"/>
  <c r="D14" i="10"/>
  <c r="D10" i="13" s="1"/>
  <c r="F10" i="13" s="1"/>
  <c r="G10" i="13" s="1"/>
  <c r="I77" i="12"/>
  <c r="M14" i="12"/>
  <c r="V14" i="12"/>
  <c r="S5" i="13"/>
  <c r="J16" i="10"/>
  <c r="M70" i="12"/>
  <c r="R32" i="12"/>
  <c r="J21" i="12"/>
  <c r="M21" i="12" s="1"/>
  <c r="I69" i="12"/>
  <c r="I73" i="12" s="1"/>
  <c r="I76" i="12" s="1"/>
  <c r="J32" i="12"/>
  <c r="J36" i="12" s="1"/>
  <c r="V70" i="12"/>
  <c r="F10" i="10"/>
  <c r="N6" i="13" s="1"/>
  <c r="P6" i="13" s="1"/>
  <c r="Q6" i="13" s="1"/>
  <c r="J5" i="13"/>
  <c r="T5" i="13"/>
  <c r="V75" i="12"/>
  <c r="V69" i="12"/>
  <c r="M37" i="12"/>
  <c r="P37" i="12" s="1"/>
  <c r="H37" i="12"/>
  <c r="T69" i="12"/>
  <c r="T73" i="12" s="1"/>
  <c r="T75" i="12"/>
  <c r="T77" i="12" s="1"/>
  <c r="M71" i="12"/>
  <c r="I74" i="12"/>
  <c r="I79" i="12"/>
  <c r="R37" i="12"/>
  <c r="O69" i="12"/>
  <c r="O73" i="12" s="1"/>
  <c r="H13" i="15"/>
  <c r="O75" i="12"/>
  <c r="O77" i="12" s="1"/>
  <c r="E9" i="10"/>
  <c r="I5" i="13" s="1"/>
  <c r="K5" i="13" s="1"/>
  <c r="L5" i="13" s="1"/>
  <c r="F79" i="12"/>
  <c r="L69" i="12"/>
  <c r="L73" i="12" s="1"/>
  <c r="K7" i="13"/>
  <c r="L7" i="13" s="1"/>
  <c r="N8" i="13"/>
  <c r="P7" i="13"/>
  <c r="Q7" i="13" s="1"/>
  <c r="F9" i="15"/>
  <c r="H18" i="15"/>
  <c r="E9" i="15"/>
  <c r="D17" i="15"/>
  <c r="G9" i="15"/>
  <c r="G6" i="15" s="1"/>
  <c r="G18" i="15"/>
  <c r="I13" i="15"/>
  <c r="I9" i="15"/>
  <c r="I6" i="15" s="1"/>
  <c r="F9" i="10"/>
  <c r="N5" i="13" s="1"/>
  <c r="P5" i="13" s="1"/>
  <c r="Q5" i="13" s="1"/>
  <c r="M33" i="12" l="1"/>
  <c r="V73" i="12"/>
  <c r="V79" i="12" s="1"/>
  <c r="D15" i="10"/>
  <c r="D18" i="10" s="1"/>
  <c r="G16" i="15"/>
  <c r="D17" i="10"/>
  <c r="D15" i="15"/>
  <c r="M32" i="12"/>
  <c r="V74" i="12"/>
  <c r="F18" i="15"/>
  <c r="F15" i="10"/>
  <c r="V76" i="12"/>
  <c r="L76" i="12"/>
  <c r="L79" i="12"/>
  <c r="L74" i="12"/>
  <c r="D11" i="13"/>
  <c r="F11" i="13" s="1"/>
  <c r="G11" i="13" s="1"/>
  <c r="T79" i="12"/>
  <c r="T76" i="12"/>
  <c r="T74" i="12"/>
  <c r="F14" i="15"/>
  <c r="F14" i="10"/>
  <c r="V77" i="12"/>
  <c r="I16" i="15"/>
  <c r="O74" i="12"/>
  <c r="O79" i="12"/>
  <c r="O76" i="12"/>
  <c r="H36" i="12"/>
  <c r="M36" i="12"/>
  <c r="P36" i="12" s="1"/>
  <c r="H9" i="15"/>
  <c r="H6" i="15" s="1"/>
  <c r="H17" i="15"/>
  <c r="D13" i="10" l="1"/>
  <c r="H5" i="15"/>
  <c r="H16" i="15"/>
  <c r="D18" i="15"/>
  <c r="D13" i="15"/>
  <c r="D16" i="15" s="1"/>
  <c r="F17" i="10"/>
  <c r="N10" i="13"/>
  <c r="P10" i="13" s="1"/>
  <c r="Q10" i="13" s="1"/>
  <c r="F13" i="10"/>
  <c r="N11" i="13"/>
  <c r="P11" i="13" s="1"/>
  <c r="Q11" i="13" s="1"/>
  <c r="F18" i="10"/>
  <c r="M69" i="12"/>
  <c r="M73" i="12" s="1"/>
  <c r="F13" i="15"/>
  <c r="F16" i="15" s="1"/>
  <c r="F17" i="15"/>
  <c r="D9" i="13"/>
  <c r="F9" i="13" s="1"/>
  <c r="G9" i="13" s="1"/>
  <c r="D16" i="10"/>
  <c r="P69" i="12"/>
  <c r="P73" i="12" s="1"/>
  <c r="R36" i="12"/>
  <c r="P75" i="12"/>
  <c r="M75" i="12"/>
  <c r="M77" i="12" s="1"/>
  <c r="H69" i="12"/>
  <c r="H73" i="12" s="1"/>
  <c r="H75" i="12"/>
  <c r="H77" i="12" s="1"/>
  <c r="H76" i="12" l="1"/>
  <c r="H74" i="12"/>
  <c r="H79" i="12"/>
  <c r="E15" i="10"/>
  <c r="P76" i="12"/>
  <c r="E15" i="15"/>
  <c r="E18" i="15" s="1"/>
  <c r="P74" i="12"/>
  <c r="P79" i="12"/>
  <c r="N9" i="13"/>
  <c r="P9" i="13" s="1"/>
  <c r="Q9" i="13" s="1"/>
  <c r="F16" i="10"/>
  <c r="M74" i="12"/>
  <c r="M79" i="12"/>
  <c r="M76" i="12"/>
  <c r="E14" i="15"/>
  <c r="P77" i="12"/>
  <c r="E14" i="10"/>
  <c r="E13" i="10" l="1"/>
  <c r="E17" i="10"/>
  <c r="I10" i="13"/>
  <c r="K10" i="13" s="1"/>
  <c r="L10" i="13" s="1"/>
  <c r="I11" i="13"/>
  <c r="K11" i="13" s="1"/>
  <c r="L11" i="13" s="1"/>
  <c r="E18" i="10"/>
  <c r="E13" i="15"/>
  <c r="E16" i="15" s="1"/>
  <c r="E17" i="15"/>
  <c r="I9" i="13" l="1"/>
  <c r="K9" i="13" s="1"/>
  <c r="L9" i="13" s="1"/>
  <c r="E16" i="10"/>
</calcChain>
</file>

<file path=xl/sharedStrings.xml><?xml version="1.0" encoding="utf-8"?>
<sst xmlns="http://schemas.openxmlformats.org/spreadsheetml/2006/main" count="241" uniqueCount="165">
  <si>
    <t xml:space="preserve"> </t>
  </si>
  <si>
    <t>Country:</t>
  </si>
  <si>
    <t>Target Values for Replenishment period</t>
  </si>
  <si>
    <t>Local currency (unit):</t>
  </si>
  <si>
    <t>Total Public Expenditure</t>
  </si>
  <si>
    <t>Total Public Expenditure (Recurrent and Capital, excluding debt service)</t>
  </si>
  <si>
    <t>Total Public Recurrent Expenditure (including debt service payments)</t>
  </si>
  <si>
    <t xml:space="preserve">Total Public Capital Expenditure </t>
  </si>
  <si>
    <t xml:space="preserve">Interest and Debt Services </t>
  </si>
  <si>
    <t>Public Expenditure on Education</t>
  </si>
  <si>
    <t>Public Expenditure on Education (Recurrent and Capital)</t>
  </si>
  <si>
    <t>Public Recurrent Education Expenditure</t>
  </si>
  <si>
    <t>Public Capital Education Expenditure</t>
  </si>
  <si>
    <t xml:space="preserve">Traitement en 2016 </t>
  </si>
  <si>
    <t>Traitement en 2017</t>
  </si>
  <si>
    <t>Pays</t>
  </si>
  <si>
    <t>RDC</t>
  </si>
  <si>
    <t>Année de base PME</t>
  </si>
  <si>
    <t>Dernière année avec dépenses exécutées</t>
  </si>
  <si>
    <t>Dernière année budgétaire achevée</t>
  </si>
  <si>
    <t>Mise à jour réelle des dépenses</t>
  </si>
  <si>
    <t>notes</t>
  </si>
  <si>
    <t>année d'admission au PME</t>
  </si>
  <si>
    <t>unité monétaire</t>
  </si>
  <si>
    <t>FC</t>
  </si>
  <si>
    <t>unit</t>
  </si>
  <si>
    <t>millions FC</t>
  </si>
  <si>
    <t>Taux d' exécution</t>
  </si>
  <si>
    <t>Mois de début de l'année budgétaire</t>
  </si>
  <si>
    <t>Janvier</t>
  </si>
  <si>
    <t>dépense réelle</t>
  </si>
  <si>
    <t xml:space="preserve">Budget </t>
  </si>
  <si>
    <t>Budget</t>
  </si>
  <si>
    <t>Dépenses réelles</t>
  </si>
  <si>
    <t>Reference de la source</t>
  </si>
  <si>
    <t>Depenses réelle estimée</t>
  </si>
  <si>
    <t>Budget total de l'Etat</t>
  </si>
  <si>
    <t>Source</t>
  </si>
  <si>
    <t>Note</t>
  </si>
  <si>
    <t>Rapport PIE et loi de finances</t>
  </si>
  <si>
    <t>Rapport de Suivi PEI</t>
  </si>
  <si>
    <t>Loi de Finances 2015</t>
  </si>
  <si>
    <t>estimation sur la base du taux d'exécution</t>
  </si>
  <si>
    <t>Loi de Finances 2016 (synthese des recettes de l’avant projet de loi de finances 2016) P36-37</t>
  </si>
  <si>
    <t>Loi de Finances 2016 (synthese des recettes de l’avant projet de loi de finances 2016)  (executions probables fin decembre 2015) P36-37</t>
  </si>
  <si>
    <t>Implementation rate</t>
  </si>
  <si>
    <t>Loi de Finances 2016 (synthese des recettes de l'avant projet de loi de finances 2016) (colonne Avant Projet Commission interministerielle) P36-37</t>
  </si>
  <si>
    <t>Exécution au 31 décembre</t>
  </si>
  <si>
    <t>Revenus</t>
  </si>
  <si>
    <t>Recettes fiscales et non fiscales</t>
  </si>
  <si>
    <t>financements externes</t>
  </si>
  <si>
    <t>Total ressources de l'Etat</t>
  </si>
  <si>
    <t>Dépenses</t>
  </si>
  <si>
    <t>Tableau 5</t>
  </si>
  <si>
    <t>http://www.budget.gouv.cd/2012/esb2016/esb_decembre2016/global/esb_global_par_nature_synthese.pdf</t>
  </si>
  <si>
    <t>Fonctionnement</t>
  </si>
  <si>
    <t xml:space="preserve">Investissement </t>
  </si>
  <si>
    <t>frais financiers</t>
  </si>
  <si>
    <t>Amortissemenr dette</t>
  </si>
  <si>
    <t>Dette publique en capital</t>
  </si>
  <si>
    <t>Total dépenses</t>
  </si>
  <si>
    <t>Salaires et pensions</t>
  </si>
  <si>
    <t>Dépenses de personnel</t>
  </si>
  <si>
    <t>dont traitements et salaires</t>
  </si>
  <si>
    <t>Pensions versées</t>
  </si>
  <si>
    <t>Recettes du système de pension</t>
  </si>
  <si>
    <t>% Contribution pour pension</t>
  </si>
  <si>
    <t>Subventions aux collectivités décentralisées</t>
  </si>
  <si>
    <t>Tableau 8</t>
  </si>
  <si>
    <t>Dépense pour l'Education</t>
  </si>
  <si>
    <t>Rapport PIE et loi de finances
+ estimation à partir du taux d'exécution du MEPSP</t>
  </si>
  <si>
    <t>Ministères en charge de l'éducation</t>
  </si>
  <si>
    <t>MEPSP fonctionnement</t>
  </si>
  <si>
    <t>MEPSP Investissements</t>
  </si>
  <si>
    <t>ETP fonctionnement</t>
  </si>
  <si>
    <t>ETP investissement</t>
  </si>
  <si>
    <t>Enseignement supérieur Fonctionnement</t>
  </si>
  <si>
    <t>Enseignement supérieur Investissements</t>
  </si>
  <si>
    <t>Déductions des dépenses non éducation</t>
  </si>
  <si>
    <t>Nom ministère 1</t>
  </si>
  <si>
    <t>Nom ministère 2</t>
  </si>
  <si>
    <t>Nom ministère 3</t>
  </si>
  <si>
    <t>Autres ministères</t>
  </si>
  <si>
    <t xml:space="preserve">autres </t>
  </si>
  <si>
    <t>Nom ministère 4</t>
  </si>
  <si>
    <t>Nom ministère 5</t>
  </si>
  <si>
    <t>Nom ministère 6</t>
  </si>
  <si>
    <t>Nom ministère 7</t>
  </si>
  <si>
    <t>dont salaires</t>
  </si>
  <si>
    <t>Education Nationale</t>
  </si>
  <si>
    <t>Enseignement supérieur</t>
  </si>
  <si>
    <t>Nom ministère 8</t>
  </si>
  <si>
    <t>Collectivités décentralisées</t>
  </si>
  <si>
    <t>Expenditure in education</t>
  </si>
  <si>
    <t>% des subventions</t>
  </si>
  <si>
    <t>Financements extérieurs inclus dans la dép</t>
  </si>
  <si>
    <t>% budget pour l'éducation</t>
  </si>
  <si>
    <t>Dépense d'éducation</t>
  </si>
  <si>
    <t>Ministères de l'Education</t>
  </si>
  <si>
    <t>Contributions pour pensions</t>
  </si>
  <si>
    <t>Total pour l'éducation</t>
  </si>
  <si>
    <t>% des dépenses courantes et capital</t>
  </si>
  <si>
    <t>Dépense courante pour l'éducation</t>
  </si>
  <si>
    <t>Dépense en capital en % des dépenses en capital de l'Etat</t>
  </si>
  <si>
    <t>Dépense courantesl en % des dépenses courantes de l'Etat</t>
  </si>
  <si>
    <t>Dépenses d'éducation en % des ressources intérieures</t>
  </si>
  <si>
    <t>Dépenses d'éducation hors ressources intérieures</t>
  </si>
  <si>
    <t>Dépenses d'éducation hors ressources intérieures en % dépenses intérieures</t>
  </si>
  <si>
    <t>Dépense courante pour le primaire en % des dépenses courantes</t>
  </si>
  <si>
    <t>Dépense pour le primaire en % des dépenses totales</t>
  </si>
  <si>
    <t>Notes</t>
  </si>
  <si>
    <t>Difficultés rencontrées</t>
  </si>
  <si>
    <t>Democratic Republic of Congo</t>
  </si>
  <si>
    <t>Actual Values for Prior Years</t>
  </si>
  <si>
    <t>Millions of CDF</t>
  </si>
  <si>
    <t>Indicator 10</t>
  </si>
  <si>
    <t>ESPIG</t>
  </si>
  <si>
    <t>Difference</t>
  </si>
  <si>
    <t>%</t>
  </si>
  <si>
    <t>Execution rate</t>
  </si>
  <si>
    <t xml:space="preserve">Source 'ESPIG' for 2015-2020: Joint Sector Review Report, Stratégie sectorielle de l'éducation et de la formation 2016-2025 </t>
  </si>
  <si>
    <t>When data are expressed in USD, we applied the exchange rate published from US Internal revenue Service from 12/2015 (date of publication of the report) 1 USD = 920 CDF</t>
  </si>
  <si>
    <t>Remarques :</t>
  </si>
  <si>
    <t>Les cellules vert clair doivent être complétées par le PDP. Veuillez estimer la valeur des dépenses prévues plutôt que d'utiliser les données budgétées. Les données pour la période de 2014 à 2016 ont été pré-remplies par le Secrétariat du GPE en fonction des informations recueillies à partir de documents publics disponibles. Les données pour la période de 2017 à 2020 (cellules vertes) doivent être remplies par le PDP.</t>
  </si>
  <si>
    <t>Les cellules jaunes se remplissent automatiquement lorsque les cellules vertes sont remplies. Les cellules jaunes ne peuvent pas être éditées.</t>
  </si>
  <si>
    <t xml:space="preserve">Devise locale (unité) :
</t>
  </si>
  <si>
    <t>Franc Congolais (million)</t>
  </si>
  <si>
    <t>Total des dépenses publiques (courantes et capital, excluant le service de la dette)</t>
  </si>
  <si>
    <t>Total des dépenses publiques courantes (incluant les paiements du service de la dette)</t>
  </si>
  <si>
    <t>Total des dépenses publiques en capital</t>
  </si>
  <si>
    <t xml:space="preserve">Intérêts et service de la dette </t>
  </si>
  <si>
    <t>Total des dépenses publiques</t>
  </si>
  <si>
    <t>Dépenses publiques consacrées à l’éducation</t>
  </si>
  <si>
    <t>Dépenses publiques consacrées à l’éducation (courantes et en capital)</t>
  </si>
  <si>
    <t xml:space="preserve">Dépenses publiques courantes consacrées à l’éducation </t>
  </si>
  <si>
    <t>Dépenses publiques en capital consacrées à l’éducation</t>
  </si>
  <si>
    <t xml:space="preserve">Dépenses consacrées à l’éducation (%)
</t>
  </si>
  <si>
    <t>Dépenses publiques courantes et en capital consacrées à l’éducation (en % du total des dépenses publiques)</t>
  </si>
  <si>
    <t>Dépenses publiques courantes consacrées à l’éducation (en % des dépenses publiques courantes, excluant le service de la dette)</t>
  </si>
  <si>
    <t>Dépenses publiques en capital consacrées à l’éducation (en % des dépenses publiques en capital)</t>
  </si>
  <si>
    <t>Veuillez décrire comment le périmètre des dépenses consacrées à l'éducation a été défini lors de la réalisation de ce modèle (c'est-à-dire ce qui est inclus et exclu dans les dépenses d'éducation). Veuillez porter un intérêt particulier aux questions suivantes :</t>
  </si>
  <si>
    <t xml:space="preserve">1. a. Énumérez les ministères compétents qui sont les principaux responsables des services publics en matière d'éducation (p. ex. ministère de l'Éducation de base, Ministère de l'Enseignement supérieur, Ministère de la jeunesse et des sports, etc.)                                                                                                              </t>
  </si>
  <si>
    <t>b. Décrivez les dépenses non liées à l'éducation dans le budget des ministères énumérés à la rubrique 1a.</t>
  </si>
  <si>
    <t>c. Décrivez les dépenses d'éducation en dehors du budget des ministères compétents énumérés à la rubrique 1a. Veuillez également indiquer à partir de quels ministères ces dépenses sont extraites (p. ex. ministère de la Santé, ministère du Développement social).</t>
  </si>
  <si>
    <t>2. Les dépenses non salariales pour le personnel employé dans le secteur de l'éducation (p. ex. les pensions) sont-elles incluses dans les budgets des ministères concernés listés en 1a ? Si NON, veuillez indiquer quel ministère est responsable du paiement des dépenses non salariales et préciser si elles sont incluses dans la valeur des dépenses d'éducation indiquées ci-dessus.</t>
  </si>
  <si>
    <t>3. Toutes les dépenses sous-fédérales en matière d'éducation (p. ex. au niveau des États, des provinces et des collectivités locales) sont-elles incluses dans les chiffres des dépenses indiqués ci-dessus ? Si NON, veuillez indiquer si vous avez des estimations sur le volume de ces dépenses.</t>
  </si>
  <si>
    <t>Dépenses publiques courantes consacrées à l’éducation  (en % des dépenses publiques courantes excluant le service de la dette)</t>
  </si>
  <si>
    <t>Valeurs réelles pour les années antérieures et l’année en cours</t>
  </si>
  <si>
    <t>Valeurs cibles pour la période de reconstitution des ressources</t>
  </si>
  <si>
    <t>SOURCE/COMMENTAIRES</t>
  </si>
  <si>
    <t xml:space="preserve">Réponse du PDP </t>
  </si>
  <si>
    <t xml:space="preserve">1. Ministère de l'enseignement primaire, secondaire et professionnel, 2. Ministère de l'enseignement supérieur et universitaire, 3. Ministère de la Formation professionnel, Artisanat et Métiers, 4. Ministère des Affaires sociales </t>
  </si>
  <si>
    <t xml:space="preserve">1. Ministère de la Santé : Formation des infirmiers et techniciens de la Santé, 2. Ministère de l'Intérieur : Ecole de la Police, 3. Ministère de la Fonction Publique : Ecole d'Administration, 4. Ministère de la Jeunesse et Sports : Centre de formation professionnelRéponse du PDP </t>
  </si>
  <si>
    <t>1. Dépenses liées aux pensions, 2. Dépenses liées aux activités sociales, aux urgences et à l'humanitaires (Ministère des affaires sociales), Fonds spécial d'intervention, Frais funéraire, Frais de textiles et tissu</t>
  </si>
  <si>
    <t>Oui, ce type de dépenses est inclus</t>
  </si>
  <si>
    <t>Country</t>
  </si>
  <si>
    <t>Subject Descriptor</t>
  </si>
  <si>
    <t>Units</t>
  </si>
  <si>
    <t>Scale</t>
  </si>
  <si>
    <t>Country/Series-specific Notes</t>
  </si>
  <si>
    <t>Democratic Republic of the Congo</t>
  </si>
  <si>
    <t>General government net lending/borrowing</t>
  </si>
  <si>
    <t>National currency</t>
  </si>
  <si>
    <t>Billions</t>
  </si>
  <si>
    <t>General government primary net lending/borrowing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</si>
</sst>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0.0%"/>
    <numFmt numFmtId="166" formatCode="_(* #,##0_);_(* \(#,##0\);_(* &quot;-&quot;??_);_(@_)"/>
    <numFmt numFmtId="167" formatCode="#,##0.0"/>
  </numFmts>
  <fonts count="5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1"/>
      <color theme="1"/>
      <name val="Calibri"/>
      <family val="2"/>
      <scheme val="minor"/>
    </font>
    <font>
      <b/>
      <sz val="9"/>
      <color theme="1"/>
      <name val="Calibri"/>
      <family val="2"/>
      <scheme val="minor"/>
    </font>
    <font>
      <sz val="9"/>
      <color rgb="FF002060"/>
      <name val="Calibri"/>
      <family val="2"/>
      <scheme val="minor"/>
    </font>
    <font>
      <b/>
      <sz val="11"/>
      <color theme="1"/>
      <name val="Calibri"/>
      <family val="2"/>
      <scheme val="minor"/>
    </font>
    <font>
      <b/>
      <sz val="9"/>
      <color rgb="FF002060"/>
      <name val="Calibri"/>
      <family val="2"/>
      <scheme val="minor"/>
    </font>
    <font>
      <b/>
      <sz val="14"/>
      <color rgb="FF002060"/>
      <name val="Calibri"/>
      <family val="2"/>
      <scheme val="minor"/>
    </font>
    <font>
      <sz val="9"/>
      <color theme="1"/>
      <name val="Calibri"/>
      <family val="2"/>
      <scheme val="minor"/>
    </font>
    <font>
      <b/>
      <i/>
      <sz val="9"/>
      <color rgb="FF002060"/>
      <name val="Calibri"/>
      <family val="2"/>
      <scheme val="minor"/>
    </font>
    <font>
      <i/>
      <sz val="11"/>
      <color theme="1"/>
      <name val="Calibri"/>
      <family val="2"/>
      <scheme val="minor"/>
    </font>
    <font>
      <sz val="11"/>
      <color rgb="FF002060"/>
      <name val="Calibri"/>
      <family val="2"/>
      <scheme val="minor"/>
    </font>
    <font>
      <sz val="11"/>
      <color theme="9" tint="-0.249977111117893"/>
      <name val="Calibri"/>
      <family val="2"/>
      <scheme val="minor"/>
    </font>
    <font>
      <b/>
      <sz val="11"/>
      <color rgb="FF002060"/>
      <name val="Calibri"/>
      <family val="2"/>
      <scheme val="minor"/>
    </font>
    <font>
      <b/>
      <i/>
      <sz val="12"/>
      <color rgb="FF002060"/>
      <name val="Calibri"/>
      <family val="2"/>
      <scheme val="minor"/>
    </font>
    <font>
      <sz val="11"/>
      <color rgb="FFFF0000"/>
      <name val="Calibri"/>
      <family val="2"/>
      <scheme val="minor"/>
    </font>
    <font>
      <sz val="10"/>
      <name val="Arial"/>
      <family val="2"/>
    </font>
    <font>
      <b/>
      <sz val="24"/>
      <color theme="1"/>
      <name val="Calibri"/>
      <family val="2"/>
      <scheme val="minor"/>
    </font>
    <font>
      <u/>
      <sz val="16"/>
      <color theme="1"/>
      <name val="Calibri"/>
      <family val="2"/>
      <scheme val="minor"/>
    </font>
    <font>
      <b/>
      <sz val="18"/>
      <color theme="0"/>
      <name val="Calibri"/>
      <family val="2"/>
      <scheme val="minor"/>
    </font>
    <font>
      <b/>
      <sz val="28"/>
      <color theme="0"/>
      <name val="Calibri"/>
      <family val="2"/>
      <scheme val="minor"/>
    </font>
    <font>
      <i/>
      <sz val="18"/>
      <color theme="1"/>
      <name val="Calibri"/>
      <family val="2"/>
      <scheme val="minor"/>
    </font>
    <font>
      <b/>
      <sz val="16"/>
      <color theme="0"/>
      <name val="Calibri"/>
      <family val="2"/>
      <scheme val="minor"/>
    </font>
    <font>
      <sz val="14"/>
      <color rgb="FF000000"/>
      <name val="Calibri"/>
      <family val="2"/>
      <scheme val="minor"/>
    </font>
    <font>
      <sz val="20"/>
      <color theme="0"/>
      <name val="Calibri"/>
      <family val="2"/>
      <scheme val="minor"/>
    </font>
    <font>
      <sz val="22"/>
      <color theme="0"/>
      <name val="Calibri"/>
      <family val="2"/>
      <scheme val="minor"/>
    </font>
    <font>
      <sz val="12"/>
      <color theme="1"/>
      <name val="Times New Roman"/>
      <family val="2"/>
    </font>
    <font>
      <sz val="16"/>
      <name val="Calibri"/>
      <family val="2"/>
      <scheme val="minor"/>
    </font>
    <font>
      <b/>
      <sz val="18"/>
      <color theme="1"/>
      <name val="Calibri"/>
      <family val="2"/>
      <scheme val="minor"/>
    </font>
    <font>
      <b/>
      <sz val="9"/>
      <color indexed="8"/>
      <name val="Calibri"/>
      <family val="2"/>
      <scheme val="minor"/>
    </font>
    <font>
      <i/>
      <sz val="9"/>
      <color indexed="56"/>
      <name val="Calibri"/>
      <family val="2"/>
      <scheme val="minor"/>
    </font>
    <font>
      <sz val="9"/>
      <color indexed="56"/>
      <name val="Calibri"/>
      <family val="2"/>
      <scheme val="minor"/>
    </font>
    <font>
      <sz val="11"/>
      <color indexed="8"/>
      <name val="Calibri"/>
      <family val="2"/>
      <scheme val="minor"/>
    </font>
    <font>
      <b/>
      <sz val="11"/>
      <color indexed="8"/>
      <name val="Calibri"/>
      <family val="2"/>
      <scheme val="minor"/>
    </font>
    <font>
      <i/>
      <sz val="11"/>
      <color indexed="56"/>
      <name val="Calibri"/>
      <family val="2"/>
      <scheme val="minor"/>
    </font>
    <font>
      <b/>
      <i/>
      <sz val="9"/>
      <name val="Calibri"/>
      <family val="2"/>
      <scheme val="minor"/>
    </font>
    <font>
      <sz val="11"/>
      <name val="Calibri"/>
      <family val="2"/>
      <scheme val="minor"/>
    </font>
    <font>
      <sz val="9"/>
      <name val="Calibri"/>
      <family val="2"/>
      <scheme val="minor"/>
    </font>
    <font>
      <b/>
      <sz val="11"/>
      <name val="Calibri"/>
      <family val="2"/>
      <scheme val="minor"/>
    </font>
    <font>
      <i/>
      <sz val="9"/>
      <name val="Calibri"/>
      <family val="2"/>
      <scheme val="minor"/>
    </font>
    <font>
      <b/>
      <sz val="10"/>
      <color theme="1"/>
      <name val="Calibri"/>
      <family val="2"/>
      <scheme val="minor"/>
    </font>
    <font>
      <b/>
      <sz val="26"/>
      <color theme="0"/>
      <name val="Calibri"/>
      <family val="2"/>
      <scheme val="minor"/>
    </font>
    <font>
      <b/>
      <sz val="16"/>
      <color rgb="FF000000"/>
      <name val="Calibri"/>
      <family val="2"/>
      <scheme val="minor"/>
    </font>
    <font>
      <b/>
      <sz val="16"/>
      <name val="Calibri"/>
      <family val="2"/>
      <scheme val="minor"/>
    </font>
    <font>
      <b/>
      <sz val="10.199999999999999"/>
      <color rgb="FF505050"/>
      <name val="Arial"/>
      <family val="2"/>
    </font>
    <font>
      <sz val="10.8"/>
      <color rgb="FF505050"/>
      <name val="Arial"/>
      <family val="2"/>
    </font>
  </fonts>
  <fills count="34">
    <fill>
      <patternFill patternType="none"/>
    </fill>
    <fill>
      <patternFill patternType="gray125"/>
    </fill>
    <fill>
      <patternFill patternType="solid">
        <fgColor rgb="FFFFDF6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D966"/>
        <bgColor rgb="FF000000"/>
      </patternFill>
    </fill>
    <fill>
      <patternFill patternType="solid">
        <fgColor theme="4" tint="-0.249977111117893"/>
        <bgColor indexed="64"/>
      </patternFill>
    </fill>
    <fill>
      <patternFill patternType="solid">
        <fgColor rgb="FF0070C0"/>
        <bgColor theme="4"/>
      </patternFill>
    </fill>
    <fill>
      <patternFill patternType="solid">
        <fgColor rgb="FF0070C0"/>
        <bgColor indexed="64"/>
      </patternFill>
    </fill>
    <fill>
      <patternFill patternType="solid">
        <fgColor rgb="FF0070C0"/>
        <bgColor theme="4" tint="0.79998168889431442"/>
      </patternFill>
    </fill>
    <fill>
      <patternFill patternType="solid">
        <fgColor theme="8" tint="0.59999389629810485"/>
        <bgColor indexed="64"/>
      </patternFill>
    </fill>
    <fill>
      <patternFill patternType="solid">
        <fgColor theme="8" tint="0.59999389629810485"/>
        <bgColor theme="4" tint="0.59999389629810485"/>
      </patternFill>
    </fill>
    <fill>
      <patternFill patternType="solid">
        <fgColor theme="8" tint="0.59999389629810485"/>
        <bgColor theme="4" tint="0.79998168889431442"/>
      </patternFill>
    </fill>
    <fill>
      <patternFill patternType="solid">
        <fgColor rgb="FF0070C0"/>
        <bgColor theme="4" tint="0.59999389629810485"/>
      </patternFill>
    </fill>
    <fill>
      <patternFill patternType="solid">
        <fgColor rgb="FFFFDF60"/>
        <bgColor theme="4" tint="0.59999389629810485"/>
      </patternFill>
    </fill>
    <fill>
      <patternFill patternType="solid">
        <fgColor theme="2" tint="-9.9978637043366805E-2"/>
        <bgColor indexed="64"/>
      </patternFill>
    </fill>
    <fill>
      <patternFill patternType="solid">
        <fgColor theme="0"/>
        <bgColor indexed="64"/>
      </patternFill>
    </fill>
    <fill>
      <patternFill patternType="solid">
        <fgColor rgb="FF92D050"/>
        <bgColor rgb="FF000000"/>
      </patternFill>
    </fill>
    <fill>
      <patternFill patternType="solid">
        <fgColor rgb="FF92D050"/>
        <bgColor indexed="64"/>
      </patternFill>
    </fill>
    <fill>
      <patternFill patternType="solid">
        <fgColor rgb="FF92D050"/>
        <bgColor theme="4" tint="0.59999389629810485"/>
      </patternFill>
    </fill>
    <fill>
      <patternFill patternType="solid">
        <fgColor rgb="FF92D050"/>
        <bgColor theme="4" tint="0.79998168889431442"/>
      </patternFill>
    </fill>
    <fill>
      <patternFill patternType="solid">
        <fgColor theme="0" tint="-0.14999847407452621"/>
        <bgColor indexed="64"/>
      </patternFill>
    </fill>
    <fill>
      <patternFill patternType="solid">
        <fgColor rgb="FFCCECFF"/>
        <bgColor indexed="64"/>
      </patternFill>
    </fill>
    <fill>
      <patternFill patternType="solid">
        <fgColor rgb="FF99CCFF"/>
        <bgColor indexed="64"/>
      </patternFill>
    </fill>
    <fill>
      <patternFill patternType="solid">
        <fgColor rgb="FF6699FF"/>
        <bgColor indexed="64"/>
      </patternFill>
    </fill>
    <fill>
      <patternFill patternType="solid">
        <fgColor rgb="FF3366FF"/>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DF60"/>
        <bgColor rgb="FF000000"/>
      </patternFill>
    </fill>
    <fill>
      <patternFill patternType="solid">
        <fgColor rgb="FFCCDDDD"/>
        <bgColor indexed="64"/>
      </patternFill>
    </fill>
    <fill>
      <patternFill patternType="solid">
        <fgColor rgb="FFDDE7D6"/>
        <bgColor indexed="64"/>
      </patternFill>
    </fill>
  </fills>
  <borders count="11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theme="0"/>
      </left>
      <right style="medium">
        <color auto="1"/>
      </right>
      <top style="thin">
        <color theme="0"/>
      </top>
      <bottom style="medium">
        <color auto="1"/>
      </bottom>
      <diagonal/>
    </border>
    <border>
      <left style="thin">
        <color theme="0"/>
      </left>
      <right/>
      <top style="thin">
        <color theme="0"/>
      </top>
      <bottom/>
      <diagonal/>
    </border>
    <border>
      <left style="thin">
        <color theme="0"/>
      </left>
      <right/>
      <top style="medium">
        <color auto="1"/>
      </top>
      <bottom/>
      <diagonal/>
    </border>
    <border>
      <left style="thin">
        <color theme="0"/>
      </left>
      <right style="medium">
        <color auto="1"/>
      </right>
      <top style="medium">
        <color auto="1"/>
      </top>
      <bottom/>
      <diagonal/>
    </border>
    <border>
      <left style="medium">
        <color auto="1"/>
      </left>
      <right/>
      <top style="thick">
        <color theme="0"/>
      </top>
      <bottom/>
      <diagonal/>
    </border>
    <border>
      <left style="thin">
        <color theme="0"/>
      </left>
      <right/>
      <top style="thick">
        <color theme="0"/>
      </top>
      <bottom/>
      <diagonal/>
    </border>
    <border>
      <left style="thin">
        <color theme="0"/>
      </left>
      <right style="medium">
        <color auto="1"/>
      </right>
      <top style="thick">
        <color theme="0"/>
      </top>
      <bottom/>
      <diagonal/>
    </border>
    <border>
      <left style="medium">
        <color auto="1"/>
      </left>
      <right/>
      <top style="thin">
        <color theme="0"/>
      </top>
      <bottom/>
      <diagonal/>
    </border>
    <border>
      <left style="thin">
        <color theme="0"/>
      </left>
      <right style="medium">
        <color auto="1"/>
      </right>
      <top style="thin">
        <color theme="0"/>
      </top>
      <bottom/>
      <diagonal/>
    </border>
    <border>
      <left style="medium">
        <color auto="1"/>
      </left>
      <right/>
      <top style="thin">
        <color theme="0"/>
      </top>
      <bottom style="medium">
        <color auto="1"/>
      </bottom>
      <diagonal/>
    </border>
    <border>
      <left style="thin">
        <color theme="0"/>
      </left>
      <right/>
      <top style="thin">
        <color theme="0"/>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ck">
        <color theme="0"/>
      </top>
      <bottom/>
      <diagonal/>
    </border>
    <border>
      <left style="medium">
        <color auto="1"/>
      </left>
      <right style="medium">
        <color auto="1"/>
      </right>
      <top style="thin">
        <color theme="0"/>
      </top>
      <bottom/>
      <diagonal/>
    </border>
    <border>
      <left style="medium">
        <color auto="1"/>
      </left>
      <right style="medium">
        <color auto="1"/>
      </right>
      <top style="thin">
        <color theme="0"/>
      </top>
      <bottom style="medium">
        <color auto="1"/>
      </bottom>
      <diagonal/>
    </border>
    <border>
      <left/>
      <right style="medium">
        <color auto="1"/>
      </right>
      <top style="thin">
        <color theme="0"/>
      </top>
      <bottom/>
      <diagonal/>
    </border>
    <border>
      <left/>
      <right style="medium">
        <color auto="1"/>
      </right>
      <top style="thin">
        <color theme="0"/>
      </top>
      <bottom style="medium">
        <color auto="1"/>
      </bottom>
      <diagonal/>
    </border>
    <border>
      <left/>
      <right style="medium">
        <color auto="1"/>
      </right>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theme="0"/>
      </bottom>
      <diagonal/>
    </border>
    <border>
      <left style="thin">
        <color auto="1"/>
      </left>
      <right style="thin">
        <color auto="1"/>
      </right>
      <top/>
      <bottom style="thin">
        <color auto="1"/>
      </bottom>
      <diagonal/>
    </border>
    <border>
      <left/>
      <right/>
      <top style="thin">
        <color theme="0"/>
      </top>
      <bottom style="thin">
        <color theme="0"/>
      </bottom>
      <diagonal/>
    </border>
    <border>
      <left/>
      <right/>
      <top style="thin">
        <color theme="0"/>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auto="1"/>
      </right>
      <top style="thin">
        <color auto="1"/>
      </top>
      <bottom style="thin">
        <color theme="0"/>
      </bottom>
      <diagonal/>
    </border>
    <border>
      <left/>
      <right/>
      <top style="thin">
        <color auto="1"/>
      </top>
      <bottom style="thin">
        <color theme="0"/>
      </bottom>
      <diagonal/>
    </border>
    <border>
      <left/>
      <right style="thin">
        <color auto="1"/>
      </right>
      <top style="thin">
        <color auto="1"/>
      </top>
      <bottom/>
      <diagonal/>
    </border>
    <border>
      <left style="thin">
        <color auto="1"/>
      </left>
      <right/>
      <top/>
      <bottom style="thin">
        <color theme="0"/>
      </bottom>
      <diagonal/>
    </border>
    <border>
      <left style="thin">
        <color auto="1"/>
      </left>
      <right/>
      <top/>
      <bottom/>
      <diagonal/>
    </border>
    <border>
      <left/>
      <right/>
      <top style="thin">
        <color auto="1"/>
      </top>
      <bottom/>
      <diagonal/>
    </border>
    <border>
      <left style="thin">
        <color auto="1"/>
      </left>
      <right/>
      <top style="thin">
        <color theme="0"/>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top style="thin">
        <color theme="0"/>
      </top>
      <bottom/>
      <diagonal/>
    </border>
    <border>
      <left style="thin">
        <color auto="1"/>
      </left>
      <right style="thin">
        <color auto="1"/>
      </right>
      <top style="thin">
        <color theme="0"/>
      </top>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auto="1"/>
      </left>
      <right/>
      <top style="thin">
        <color theme="0"/>
      </top>
      <bottom style="thin">
        <color auto="1"/>
      </bottom>
      <diagonal/>
    </border>
    <border>
      <left/>
      <right style="thin">
        <color auto="1"/>
      </right>
      <top style="thin">
        <color theme="0"/>
      </top>
      <bottom style="thin">
        <color auto="1"/>
      </bottom>
      <diagonal/>
    </border>
    <border>
      <left style="thin">
        <color auto="1"/>
      </left>
      <right style="thin">
        <color auto="1"/>
      </right>
      <top style="thin">
        <color theme="0"/>
      </top>
      <bottom style="thin">
        <color auto="1"/>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bottom style="thin">
        <color theme="0"/>
      </bottom>
      <diagonal/>
    </border>
    <border>
      <left style="thin">
        <color theme="0"/>
      </left>
      <right style="thin">
        <color theme="0"/>
      </right>
      <top/>
      <bottom/>
      <diagonal/>
    </border>
    <border>
      <left style="thin">
        <color auto="1"/>
      </left>
      <right/>
      <top/>
      <bottom style="thin">
        <color auto="1"/>
      </bottom>
      <diagonal/>
    </border>
    <border>
      <left style="thin">
        <color theme="0"/>
      </left>
      <right/>
      <top style="thin">
        <color theme="0"/>
      </top>
      <bottom style="thin">
        <color auto="1"/>
      </bottom>
      <diagonal/>
    </border>
    <border>
      <left/>
      <right/>
      <top style="thin">
        <color theme="0"/>
      </top>
      <bottom style="thin">
        <color auto="1"/>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right style="thin">
        <color auto="1"/>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bottom style="thin">
        <color auto="1"/>
      </bottom>
      <diagonal/>
    </border>
    <border>
      <left/>
      <right style="thin">
        <color auto="1"/>
      </right>
      <top style="thin">
        <color theme="0"/>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thin">
        <color theme="0"/>
      </right>
      <top/>
      <bottom/>
      <diagonal/>
    </border>
    <border>
      <left style="thin">
        <color theme="0"/>
      </left>
      <right style="thin">
        <color theme="0"/>
      </right>
      <top style="thin">
        <color auto="1"/>
      </top>
      <bottom style="thin">
        <color auto="1"/>
      </bottom>
      <diagonal/>
    </border>
    <border>
      <left style="thin">
        <color auto="1"/>
      </left>
      <right style="thin">
        <color theme="0"/>
      </right>
      <top style="thin">
        <color auto="1"/>
      </top>
      <bottom style="thin">
        <color auto="1"/>
      </bottom>
      <diagonal/>
    </border>
    <border>
      <left/>
      <right/>
      <top style="medium">
        <color auto="1"/>
      </top>
      <bottom style="medium">
        <color auto="1"/>
      </bottom>
      <diagonal/>
    </border>
    <border>
      <left/>
      <right/>
      <top/>
      <bottom style="thick">
        <color theme="0"/>
      </bottom>
      <diagonal/>
    </border>
    <border>
      <left style="medium">
        <color auto="1"/>
      </left>
      <right/>
      <top/>
      <bottom style="thick">
        <color theme="0"/>
      </bottom>
      <diagonal/>
    </border>
    <border>
      <left/>
      <right style="medium">
        <color auto="1"/>
      </right>
      <top/>
      <bottom style="thick">
        <color theme="0"/>
      </bottom>
      <diagonal/>
    </border>
    <border>
      <left style="medium">
        <color auto="1"/>
      </left>
      <right style="medium">
        <color auto="1"/>
      </right>
      <top style="medium">
        <color auto="1"/>
      </top>
      <bottom style="medium">
        <color auto="1"/>
      </bottom>
      <diagonal/>
    </border>
    <border>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thick">
        <color auto="1"/>
      </right>
      <top style="thick">
        <color auto="1"/>
      </top>
      <bottom style="medium">
        <color auto="1"/>
      </bottom>
      <diagonal/>
    </border>
    <border>
      <left style="medium">
        <color auto="1"/>
      </left>
      <right/>
      <top style="thick">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thick">
        <color auto="1"/>
      </left>
      <right style="thick">
        <color auto="1"/>
      </right>
      <top style="medium">
        <color auto="1"/>
      </top>
      <bottom style="thick">
        <color auto="1"/>
      </bottom>
      <diagonal/>
    </border>
    <border>
      <left/>
      <right/>
      <top style="medium">
        <color auto="1"/>
      </top>
      <bottom style="thick">
        <color auto="1"/>
      </bottom>
      <diagonal/>
    </border>
    <border>
      <left style="medium">
        <color auto="1"/>
      </left>
      <right style="thick">
        <color auto="1"/>
      </right>
      <top/>
      <bottom style="medium">
        <color auto="1"/>
      </bottom>
      <diagonal/>
    </border>
    <border>
      <left/>
      <right/>
      <top style="thick">
        <color auto="1"/>
      </top>
      <bottom style="thick">
        <color auto="1"/>
      </bottom>
      <diagonal/>
    </border>
    <border>
      <left style="thick">
        <color auto="1"/>
      </left>
      <right style="medium">
        <color auto="1"/>
      </right>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rgb="FFDDDDDD"/>
      </left>
      <right style="medium">
        <color rgb="FFDDDDDD"/>
      </right>
      <top style="medium">
        <color rgb="FFDDDDDD"/>
      </top>
      <bottom style="medium">
        <color rgb="FFDDDDDD"/>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DDDDDD"/>
      </right>
      <top style="medium">
        <color rgb="FFDDDDDD"/>
      </top>
      <bottom style="medium">
        <color rgb="FFDDDDDD"/>
      </bottom>
      <diagonal/>
    </border>
    <border>
      <left style="medium">
        <color rgb="FFDDDDDD"/>
      </left>
      <right style="medium">
        <color rgb="FF000000"/>
      </right>
      <top style="medium">
        <color rgb="FFDDDDDD"/>
      </top>
      <bottom style="medium">
        <color rgb="FFDDDDDD"/>
      </bottom>
      <diagonal/>
    </border>
    <border>
      <left style="medium">
        <color rgb="FF000000"/>
      </left>
      <right style="medium">
        <color rgb="FFDDDDDD"/>
      </right>
      <top style="medium">
        <color rgb="FFDDDDDD"/>
      </top>
      <bottom style="medium">
        <color rgb="FF000000"/>
      </bottom>
      <diagonal/>
    </border>
    <border>
      <left style="medium">
        <color rgb="FFDDDDDD"/>
      </left>
      <right style="medium">
        <color rgb="FFDDDDDD"/>
      </right>
      <top style="medium">
        <color rgb="FFDDDDDD"/>
      </top>
      <bottom style="medium">
        <color rgb="FF000000"/>
      </bottom>
      <diagonal/>
    </border>
    <border>
      <left style="medium">
        <color rgb="FFDDDDDD"/>
      </left>
      <right style="medium">
        <color rgb="FF000000"/>
      </right>
      <top style="medium">
        <color rgb="FFDDDDDD"/>
      </top>
      <bottom style="medium">
        <color rgb="FF000000"/>
      </bottom>
      <diagonal/>
    </border>
  </borders>
  <cellStyleXfs count="21">
    <xf numFmtId="0" fontId="0" fillId="0" borderId="0"/>
    <xf numFmtId="0" fontId="10" fillId="0" borderId="0"/>
    <xf numFmtId="9" fontId="10" fillId="0" borderId="0" applyFont="0" applyFill="0" applyBorder="0" applyAlignment="0" applyProtection="0"/>
    <xf numFmtId="0" fontId="24" fillId="0" borderId="0"/>
    <xf numFmtId="0" fontId="6" fillId="0" borderId="0"/>
    <xf numFmtId="9" fontId="6"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6" fillId="0" borderId="0" applyFont="0" applyFill="0" applyBorder="0" applyAlignment="0" applyProtection="0"/>
    <xf numFmtId="9" fontId="34"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164" fontId="4" fillId="0" borderId="0" applyFont="0" applyFill="0" applyBorder="0" applyAlignment="0" applyProtection="0"/>
  </cellStyleXfs>
  <cellXfs count="604">
    <xf numFmtId="0" fontId="0" fillId="0" borderId="0" xfId="0"/>
    <xf numFmtId="0" fontId="7" fillId="0" borderId="0" xfId="0" applyFont="1"/>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center" vertical="center"/>
    </xf>
    <xf numFmtId="0" fontId="26" fillId="0" borderId="1" xfId="0" applyFont="1" applyBorder="1" applyAlignment="1">
      <alignment vertical="top"/>
    </xf>
    <xf numFmtId="0" fontId="7" fillId="0" borderId="2" xfId="0" applyFont="1" applyBorder="1"/>
    <xf numFmtId="0" fontId="27" fillId="8" borderId="1" xfId="0" applyFont="1" applyFill="1" applyBorder="1" applyAlignment="1">
      <alignment vertical="center"/>
    </xf>
    <xf numFmtId="0" fontId="28" fillId="8" borderId="17" xfId="0" applyFont="1" applyFill="1" applyBorder="1" applyAlignment="1">
      <alignment horizontal="center" vertical="center"/>
    </xf>
    <xf numFmtId="0" fontId="30" fillId="8" borderId="18" xfId="0" applyFont="1" applyFill="1" applyBorder="1" applyAlignment="1">
      <alignment horizontal="center" vertical="center"/>
    </xf>
    <xf numFmtId="0" fontId="32" fillId="10" borderId="10" xfId="0" applyFont="1" applyFill="1" applyBorder="1" applyAlignment="1">
      <alignment horizontal="right" vertical="center"/>
    </xf>
    <xf numFmtId="0" fontId="32" fillId="10" borderId="11" xfId="0" applyFont="1" applyFill="1" applyBorder="1" applyAlignment="1">
      <alignment horizontal="right" vertical="center"/>
    </xf>
    <xf numFmtId="0" fontId="32" fillId="10" borderId="12" xfId="0" applyFont="1" applyFill="1" applyBorder="1" applyAlignment="1">
      <alignment horizontal="right" vertical="center"/>
    </xf>
    <xf numFmtId="43" fontId="8" fillId="2" borderId="1" xfId="7" applyFont="1" applyFill="1" applyBorder="1" applyAlignment="1">
      <alignment horizontal="right" vertical="center"/>
    </xf>
    <xf numFmtId="43" fontId="8" fillId="2" borderId="8" xfId="7" applyFont="1" applyFill="1" applyBorder="1" applyAlignment="1">
      <alignment horizontal="right" vertical="center"/>
    </xf>
    <xf numFmtId="43" fontId="8" fillId="2" borderId="9" xfId="7" applyFont="1" applyFill="1" applyBorder="1" applyAlignment="1">
      <alignment horizontal="right" vertical="center"/>
    </xf>
    <xf numFmtId="43" fontId="8" fillId="13" borderId="13" xfId="7" applyFont="1" applyFill="1" applyBorder="1" applyAlignment="1">
      <alignment horizontal="right" vertical="center"/>
    </xf>
    <xf numFmtId="43" fontId="8" fillId="13" borderId="7" xfId="7" applyFont="1" applyFill="1" applyBorder="1" applyAlignment="1">
      <alignment horizontal="right" vertical="center"/>
    </xf>
    <xf numFmtId="43" fontId="8" fillId="13" borderId="14" xfId="7" applyFont="1" applyFill="1" applyBorder="1" applyAlignment="1">
      <alignment horizontal="right" vertical="center"/>
    </xf>
    <xf numFmtId="43" fontId="8" fillId="14" borderId="15" xfId="7" applyFont="1" applyFill="1" applyBorder="1" applyAlignment="1">
      <alignment horizontal="right" vertical="center"/>
    </xf>
    <xf numFmtId="43" fontId="8" fillId="14" borderId="16" xfId="7" applyFont="1" applyFill="1" applyBorder="1" applyAlignment="1">
      <alignment horizontal="right" vertical="center"/>
    </xf>
    <xf numFmtId="43" fontId="8" fillId="14" borderId="6" xfId="7" applyFont="1" applyFill="1" applyBorder="1" applyAlignment="1">
      <alignment horizontal="right" vertical="center"/>
    </xf>
    <xf numFmtId="43" fontId="8" fillId="14" borderId="13" xfId="7" applyFont="1" applyFill="1" applyBorder="1" applyAlignment="1">
      <alignment horizontal="right" vertical="center"/>
    </xf>
    <xf numFmtId="43" fontId="8" fillId="13" borderId="15" xfId="7" applyFont="1" applyFill="1" applyBorder="1" applyAlignment="1">
      <alignment horizontal="right" vertical="center"/>
    </xf>
    <xf numFmtId="165" fontId="8" fillId="2" borderId="1" xfId="8" applyNumberFormat="1" applyFont="1" applyFill="1" applyBorder="1" applyAlignment="1">
      <alignment horizontal="right" vertical="center"/>
    </xf>
    <xf numFmtId="165" fontId="8" fillId="2" borderId="8" xfId="8" applyNumberFormat="1" applyFont="1" applyFill="1" applyBorder="1" applyAlignment="1">
      <alignment horizontal="right" vertical="center"/>
    </xf>
    <xf numFmtId="165" fontId="8" fillId="2" borderId="9" xfId="8" applyNumberFormat="1" applyFont="1" applyFill="1" applyBorder="1" applyAlignment="1">
      <alignment horizontal="right" vertical="center"/>
    </xf>
    <xf numFmtId="165" fontId="8" fillId="2" borderId="13" xfId="8" applyNumberFormat="1" applyFont="1" applyFill="1" applyBorder="1" applyAlignment="1">
      <alignment horizontal="right" vertical="center"/>
    </xf>
    <xf numFmtId="165" fontId="8" fillId="2" borderId="14" xfId="8" applyNumberFormat="1" applyFont="1" applyFill="1" applyBorder="1" applyAlignment="1">
      <alignment horizontal="right" vertical="center"/>
    </xf>
    <xf numFmtId="165" fontId="8" fillId="2" borderId="7" xfId="8" applyNumberFormat="1" applyFont="1" applyFill="1" applyBorder="1" applyAlignment="1">
      <alignment horizontal="right" vertical="center"/>
    </xf>
    <xf numFmtId="165" fontId="8" fillId="2" borderId="15" xfId="8" applyNumberFormat="1" applyFont="1" applyFill="1" applyBorder="1" applyAlignment="1">
      <alignment horizontal="right" vertical="center"/>
    </xf>
    <xf numFmtId="165" fontId="8" fillId="2" borderId="16" xfId="8" applyNumberFormat="1" applyFont="1" applyFill="1" applyBorder="1" applyAlignment="1">
      <alignment horizontal="right" vertical="center"/>
    </xf>
    <xf numFmtId="165" fontId="8" fillId="2" borderId="6" xfId="8" applyNumberFormat="1" applyFont="1" applyFill="1" applyBorder="1" applyAlignment="1">
      <alignment horizontal="right" vertical="center"/>
    </xf>
    <xf numFmtId="43" fontId="35" fillId="2" borderId="8" xfId="7" applyFont="1" applyFill="1" applyBorder="1" applyAlignment="1">
      <alignment horizontal="right" vertical="center"/>
    </xf>
    <xf numFmtId="43" fontId="35" fillId="13" borderId="7" xfId="7" applyFont="1" applyFill="1" applyBorder="1" applyAlignment="1">
      <alignment horizontal="right" vertical="center"/>
    </xf>
    <xf numFmtId="43" fontId="35" fillId="13" borderId="16" xfId="7" applyFont="1" applyFill="1" applyBorder="1" applyAlignment="1">
      <alignment horizontal="right" vertical="center"/>
    </xf>
    <xf numFmtId="43" fontId="35" fillId="16" borderId="14" xfId="7" applyFont="1" applyFill="1" applyBorder="1" applyAlignment="1">
      <alignment horizontal="right" vertical="center"/>
    </xf>
    <xf numFmtId="43" fontId="35" fillId="14" borderId="14" xfId="7" applyFont="1" applyFill="1" applyBorder="1" applyAlignment="1">
      <alignment horizontal="right" vertical="center"/>
    </xf>
    <xf numFmtId="43" fontId="35" fillId="13" borderId="6" xfId="7" applyFont="1" applyFill="1" applyBorder="1" applyAlignment="1">
      <alignment horizontal="right" vertical="center"/>
    </xf>
    <xf numFmtId="165" fontId="35" fillId="2" borderId="8" xfId="8" applyNumberFormat="1" applyFont="1" applyFill="1" applyBorder="1" applyAlignment="1">
      <alignment horizontal="right" vertical="center"/>
    </xf>
    <xf numFmtId="165" fontId="35" fillId="2" borderId="9" xfId="8" applyNumberFormat="1" applyFont="1" applyFill="1" applyBorder="1" applyAlignment="1">
      <alignment horizontal="right" vertical="center"/>
    </xf>
    <xf numFmtId="165" fontId="35" fillId="2" borderId="14" xfId="8" applyNumberFormat="1" applyFont="1" applyFill="1" applyBorder="1" applyAlignment="1">
      <alignment horizontal="right" vertical="center"/>
    </xf>
    <xf numFmtId="165" fontId="35" fillId="2" borderId="16" xfId="8" applyNumberFormat="1" applyFont="1" applyFill="1" applyBorder="1" applyAlignment="1">
      <alignment horizontal="right" vertical="center"/>
    </xf>
    <xf numFmtId="165" fontId="35" fillId="2" borderId="6" xfId="8" applyNumberFormat="1" applyFont="1" applyFill="1" applyBorder="1" applyAlignment="1">
      <alignment horizontal="right" vertical="center"/>
    </xf>
    <xf numFmtId="165" fontId="35" fillId="2" borderId="7" xfId="8" applyNumberFormat="1" applyFont="1" applyFill="1" applyBorder="1" applyAlignment="1">
      <alignment horizontal="right" vertical="center"/>
    </xf>
    <xf numFmtId="0" fontId="9" fillId="2" borderId="17" xfId="0" applyFont="1" applyFill="1" applyBorder="1" applyAlignment="1">
      <alignment vertical="center" wrapText="1"/>
    </xf>
    <xf numFmtId="0" fontId="8" fillId="2" borderId="20" xfId="0" applyFont="1" applyFill="1" applyBorder="1" applyAlignment="1">
      <alignment vertical="center"/>
    </xf>
    <xf numFmtId="0" fontId="8" fillId="13" borderId="19" xfId="0" applyFont="1" applyFill="1" applyBorder="1" applyAlignment="1">
      <alignment vertical="center" wrapText="1"/>
    </xf>
    <xf numFmtId="0" fontId="8" fillId="14" borderId="20" xfId="0" applyFont="1" applyFill="1" applyBorder="1" applyAlignment="1">
      <alignment vertical="center" wrapText="1"/>
    </xf>
    <xf numFmtId="0" fontId="8" fillId="14" borderId="19" xfId="0" applyFont="1" applyFill="1" applyBorder="1" applyAlignment="1">
      <alignment vertical="center"/>
    </xf>
    <xf numFmtId="0" fontId="8" fillId="13" borderId="20" xfId="0" applyFont="1" applyFill="1" applyBorder="1" applyAlignment="1">
      <alignment vertical="center"/>
    </xf>
    <xf numFmtId="0" fontId="8" fillId="2" borderId="17" xfId="0" applyFont="1" applyFill="1" applyBorder="1" applyAlignment="1">
      <alignment vertical="center"/>
    </xf>
    <xf numFmtId="0" fontId="1" fillId="0" borderId="0" xfId="18" applyFont="1"/>
    <xf numFmtId="0" fontId="1" fillId="0" borderId="0" xfId="18" applyFont="1" applyFill="1" applyBorder="1" applyAlignment="1">
      <alignment horizontal="right"/>
    </xf>
    <xf numFmtId="165" fontId="12" fillId="0" borderId="0" xfId="18" applyNumberFormat="1" applyFont="1" applyFill="1" applyAlignment="1">
      <alignment horizontal="center"/>
    </xf>
    <xf numFmtId="0" fontId="1" fillId="0" borderId="0" xfId="18" applyFont="1" applyAlignment="1">
      <alignment horizontal="center"/>
    </xf>
    <xf numFmtId="0" fontId="1" fillId="0" borderId="0" xfId="18" applyFont="1" applyAlignment="1">
      <alignment horizontal="right"/>
    </xf>
    <xf numFmtId="0" fontId="37" fillId="0" borderId="0" xfId="18" applyFont="1" applyAlignment="1">
      <alignment horizontal="center"/>
    </xf>
    <xf numFmtId="0" fontId="1" fillId="0" borderId="0" xfId="18" applyFont="1" applyBorder="1" applyAlignment="1">
      <alignment horizontal="right"/>
    </xf>
    <xf numFmtId="0" fontId="1" fillId="0" borderId="0" xfId="18" applyFont="1" applyBorder="1"/>
    <xf numFmtId="0" fontId="16" fillId="0" borderId="0" xfId="18" applyFont="1"/>
    <xf numFmtId="0" fontId="16" fillId="0" borderId="0" xfId="18" applyFont="1" applyBorder="1" applyAlignment="1">
      <alignment vertical="top" wrapText="1"/>
    </xf>
    <xf numFmtId="0" fontId="16" fillId="0" borderId="0" xfId="18" applyFont="1" applyFill="1" applyBorder="1" applyAlignment="1">
      <alignment horizontal="right"/>
    </xf>
    <xf numFmtId="0" fontId="16" fillId="3" borderId="0" xfId="18" applyFont="1" applyFill="1" applyBorder="1" applyAlignment="1">
      <alignment horizontal="left" vertical="top" wrapText="1"/>
    </xf>
    <xf numFmtId="0" fontId="16" fillId="0" borderId="0" xfId="18" applyFont="1" applyAlignment="1">
      <alignment horizontal="center"/>
    </xf>
    <xf numFmtId="0" fontId="16" fillId="0" borderId="0" xfId="18" applyFont="1" applyAlignment="1">
      <alignment horizontal="right"/>
    </xf>
    <xf numFmtId="0" fontId="16" fillId="0" borderId="0" xfId="18" applyFont="1" applyBorder="1" applyAlignment="1">
      <alignment horizontal="right"/>
    </xf>
    <xf numFmtId="0" fontId="11" fillId="0" borderId="0" xfId="18" applyFont="1" applyBorder="1"/>
    <xf numFmtId="0" fontId="11" fillId="0" borderId="0" xfId="18" applyFont="1"/>
    <xf numFmtId="0" fontId="16" fillId="0" borderId="0" xfId="18" applyFont="1" applyBorder="1" applyAlignment="1">
      <alignment horizontal="left"/>
    </xf>
    <xf numFmtId="0" fontId="16" fillId="0" borderId="0" xfId="18" applyFont="1" applyAlignment="1">
      <alignment horizontal="right" indent="1"/>
    </xf>
    <xf numFmtId="0" fontId="16" fillId="0" borderId="0" xfId="18" applyFont="1" applyFill="1"/>
    <xf numFmtId="0" fontId="16" fillId="0" borderId="0" xfId="18" applyFont="1" applyFill="1" applyBorder="1" applyAlignment="1">
      <alignment vertical="top" wrapText="1"/>
    </xf>
    <xf numFmtId="0" fontId="16" fillId="0" borderId="0" xfId="18" applyFont="1" applyFill="1" applyAlignment="1">
      <alignment vertical="top"/>
    </xf>
    <xf numFmtId="165" fontId="12" fillId="0" borderId="0" xfId="18" applyNumberFormat="1" applyFont="1" applyFill="1" applyAlignment="1">
      <alignment vertical="top"/>
    </xf>
    <xf numFmtId="0" fontId="37" fillId="0" borderId="0" xfId="18" applyFont="1" applyFill="1" applyAlignment="1">
      <alignment horizontal="center" vertical="top"/>
    </xf>
    <xf numFmtId="0" fontId="16" fillId="0" borderId="0" xfId="18" applyFont="1" applyFill="1" applyBorder="1" applyAlignment="1">
      <alignment horizontal="left" vertical="top"/>
    </xf>
    <xf numFmtId="0" fontId="16" fillId="0" borderId="0" xfId="18" applyFont="1" applyFill="1" applyAlignment="1">
      <alignment horizontal="right" vertical="top" indent="1"/>
    </xf>
    <xf numFmtId="0" fontId="16" fillId="0" borderId="0" xfId="18" applyFont="1" applyBorder="1"/>
    <xf numFmtId="0" fontId="37" fillId="0" borderId="0" xfId="18" applyFont="1" applyBorder="1"/>
    <xf numFmtId="0" fontId="37" fillId="0" borderId="0" xfId="18" applyFont="1"/>
    <xf numFmtId="165" fontId="1" fillId="0" borderId="0" xfId="18" applyNumberFormat="1" applyFont="1" applyAlignment="1">
      <alignment horizontal="right" indent="1"/>
    </xf>
    <xf numFmtId="165" fontId="1" fillId="0" borderId="0" xfId="18" applyNumberFormat="1" applyFont="1" applyFill="1" applyBorder="1" applyAlignment="1">
      <alignment horizontal="right" indent="1"/>
    </xf>
    <xf numFmtId="165" fontId="38" fillId="4" borderId="53" xfId="19" applyNumberFormat="1" applyFont="1" applyFill="1" applyBorder="1" applyAlignment="1">
      <alignment horizontal="right" indent="3"/>
    </xf>
    <xf numFmtId="165" fontId="38" fillId="0" borderId="0" xfId="19" applyNumberFormat="1" applyFont="1" applyFill="1" applyBorder="1" applyAlignment="1">
      <alignment horizontal="right" indent="3"/>
    </xf>
    <xf numFmtId="165" fontId="39" fillId="0" borderId="58" xfId="19" applyNumberFormat="1" applyFont="1" applyFill="1" applyBorder="1" applyAlignment="1">
      <alignment horizontal="right" indent="3"/>
    </xf>
    <xf numFmtId="165" fontId="38" fillId="0" borderId="58" xfId="19" applyNumberFormat="1" applyFont="1" applyFill="1" applyBorder="1" applyAlignment="1">
      <alignment horizontal="right" indent="3"/>
    </xf>
    <xf numFmtId="165" fontId="39" fillId="0" borderId="33" xfId="18" applyNumberFormat="1" applyFont="1" applyFill="1" applyBorder="1" applyAlignment="1">
      <alignment horizontal="right" indent="1"/>
    </xf>
    <xf numFmtId="165" fontId="38" fillId="4" borderId="63" xfId="19" applyNumberFormat="1" applyFont="1" applyFill="1" applyBorder="1" applyAlignment="1">
      <alignment horizontal="right" indent="3"/>
    </xf>
    <xf numFmtId="165" fontId="38" fillId="4" borderId="56" xfId="19" applyNumberFormat="1" applyFont="1" applyFill="1" applyBorder="1" applyAlignment="1">
      <alignment horizontal="right" indent="3"/>
    </xf>
    <xf numFmtId="165" fontId="38" fillId="4" borderId="55" xfId="19" applyNumberFormat="1" applyFont="1" applyFill="1" applyBorder="1" applyAlignment="1">
      <alignment horizontal="right" indent="3"/>
    </xf>
    <xf numFmtId="165" fontId="1" fillId="0" borderId="33" xfId="18" applyNumberFormat="1" applyFont="1" applyFill="1" applyBorder="1" applyAlignment="1">
      <alignment horizontal="right" indent="1"/>
    </xf>
    <xf numFmtId="165" fontId="40" fillId="4" borderId="45" xfId="18" applyNumberFormat="1" applyFont="1" applyFill="1" applyBorder="1" applyAlignment="1">
      <alignment horizontal="right" indent="1"/>
    </xf>
    <xf numFmtId="165" fontId="1" fillId="4" borderId="64" xfId="18" applyNumberFormat="1" applyFont="1" applyFill="1" applyBorder="1" applyAlignment="1">
      <alignment horizontal="right" indent="1"/>
    </xf>
    <xf numFmtId="165" fontId="15" fillId="4" borderId="53" xfId="18" applyNumberFormat="1" applyFont="1" applyFill="1" applyBorder="1" applyAlignment="1">
      <alignment horizontal="right" vertical="center" wrapText="1" indent="1"/>
    </xf>
    <xf numFmtId="165" fontId="39" fillId="4" borderId="44" xfId="18" applyNumberFormat="1" applyFont="1" applyFill="1" applyBorder="1" applyAlignment="1">
      <alignment horizontal="right" indent="3"/>
    </xf>
    <xf numFmtId="165" fontId="39" fillId="0" borderId="0" xfId="18" applyNumberFormat="1" applyFont="1" applyFill="1" applyBorder="1" applyAlignment="1">
      <alignment horizontal="right" indent="3"/>
    </xf>
    <xf numFmtId="165" fontId="39" fillId="0" borderId="34" xfId="18" applyNumberFormat="1" applyFont="1" applyFill="1" applyBorder="1" applyAlignment="1">
      <alignment horizontal="right" indent="3"/>
    </xf>
    <xf numFmtId="165" fontId="39" fillId="0" borderId="32" xfId="18" applyNumberFormat="1" applyFont="1" applyFill="1" applyBorder="1" applyAlignment="1">
      <alignment horizontal="right" indent="1"/>
    </xf>
    <xf numFmtId="165" fontId="39" fillId="4" borderId="69" xfId="18" applyNumberFormat="1" applyFont="1" applyFill="1" applyBorder="1" applyAlignment="1">
      <alignment horizontal="right" indent="3"/>
    </xf>
    <xf numFmtId="165" fontId="39" fillId="4" borderId="47" xfId="18" applyNumberFormat="1" applyFont="1" applyFill="1" applyBorder="1" applyAlignment="1">
      <alignment horizontal="right" indent="3"/>
    </xf>
    <xf numFmtId="165" fontId="39" fillId="4" borderId="46" xfId="18" applyNumberFormat="1" applyFont="1" applyFill="1" applyBorder="1" applyAlignment="1">
      <alignment horizontal="right" indent="3"/>
    </xf>
    <xf numFmtId="165" fontId="13" fillId="0" borderId="32" xfId="18" applyNumberFormat="1" applyFont="1" applyFill="1" applyBorder="1" applyAlignment="1">
      <alignment horizontal="right" indent="1"/>
    </xf>
    <xf numFmtId="165" fontId="1" fillId="4" borderId="32" xfId="18" applyNumberFormat="1" applyFont="1" applyFill="1" applyBorder="1" applyAlignment="1">
      <alignment horizontal="right" indent="1"/>
    </xf>
    <xf numFmtId="165" fontId="15" fillId="4" borderId="44" xfId="18" applyNumberFormat="1" applyFont="1" applyFill="1" applyBorder="1" applyAlignment="1">
      <alignment horizontal="right" vertical="center" wrapText="1" indent="1"/>
    </xf>
    <xf numFmtId="165" fontId="1" fillId="4" borderId="44" xfId="18" applyNumberFormat="1" applyFont="1" applyFill="1" applyBorder="1" applyAlignment="1">
      <alignment horizontal="right" indent="1"/>
    </xf>
    <xf numFmtId="165" fontId="1" fillId="0" borderId="34" xfId="18" applyNumberFormat="1" applyFont="1" applyFill="1" applyBorder="1" applyAlignment="1">
      <alignment horizontal="right" indent="1"/>
    </xf>
    <xf numFmtId="165" fontId="1" fillId="0" borderId="32" xfId="18" applyNumberFormat="1" applyFont="1" applyFill="1" applyBorder="1" applyAlignment="1">
      <alignment horizontal="right" indent="1"/>
    </xf>
    <xf numFmtId="165" fontId="1" fillId="4" borderId="69" xfId="18" applyNumberFormat="1" applyFont="1" applyFill="1" applyBorder="1" applyAlignment="1">
      <alignment horizontal="right" indent="1"/>
    </xf>
    <xf numFmtId="165" fontId="1" fillId="4" borderId="47" xfId="18" applyNumberFormat="1" applyFont="1" applyFill="1" applyBorder="1" applyAlignment="1">
      <alignment horizontal="right" indent="1"/>
    </xf>
    <xf numFmtId="165" fontId="1" fillId="4" borderId="46" xfId="18" applyNumberFormat="1" applyFont="1" applyFill="1" applyBorder="1" applyAlignment="1">
      <alignment horizontal="right" indent="1"/>
    </xf>
    <xf numFmtId="165" fontId="1" fillId="4" borderId="45" xfId="18" applyNumberFormat="1" applyFont="1" applyFill="1" applyBorder="1" applyAlignment="1">
      <alignment horizontal="right" indent="1"/>
    </xf>
    <xf numFmtId="165" fontId="1" fillId="4" borderId="67" xfId="18" applyNumberFormat="1" applyFont="1" applyFill="1" applyBorder="1" applyAlignment="1">
      <alignment horizontal="right" indent="1"/>
    </xf>
    <xf numFmtId="3" fontId="1" fillId="0" borderId="0" xfId="18" applyNumberFormat="1" applyFont="1" applyAlignment="1">
      <alignment horizontal="right" indent="1"/>
    </xf>
    <xf numFmtId="3" fontId="1" fillId="0" borderId="0" xfId="18" applyNumberFormat="1" applyFont="1" applyFill="1" applyBorder="1" applyAlignment="1">
      <alignment horizontal="right" indent="1"/>
    </xf>
    <xf numFmtId="3" fontId="1" fillId="4" borderId="44" xfId="18" applyNumberFormat="1" applyFont="1" applyFill="1" applyBorder="1" applyAlignment="1">
      <alignment horizontal="right" indent="1"/>
    </xf>
    <xf numFmtId="3" fontId="1" fillId="0" borderId="34" xfId="18" applyNumberFormat="1" applyFont="1" applyFill="1" applyBorder="1" applyAlignment="1">
      <alignment horizontal="right" indent="1"/>
    </xf>
    <xf numFmtId="3" fontId="1" fillId="0" borderId="32" xfId="18" applyNumberFormat="1" applyFont="1" applyFill="1" applyBorder="1" applyAlignment="1">
      <alignment horizontal="right" indent="1"/>
    </xf>
    <xf numFmtId="3" fontId="1" fillId="4" borderId="69" xfId="18" applyNumberFormat="1" applyFont="1" applyFill="1" applyBorder="1" applyAlignment="1">
      <alignment horizontal="right" indent="1"/>
    </xf>
    <xf numFmtId="3" fontId="1" fillId="4" borderId="47" xfId="18" applyNumberFormat="1" applyFont="1" applyFill="1" applyBorder="1" applyAlignment="1">
      <alignment horizontal="right" indent="1"/>
    </xf>
    <xf numFmtId="3" fontId="1" fillId="4" borderId="46" xfId="18" applyNumberFormat="1" applyFont="1" applyFill="1" applyBorder="1" applyAlignment="1">
      <alignment horizontal="right" indent="1"/>
    </xf>
    <xf numFmtId="3" fontId="1" fillId="4" borderId="67" xfId="18" applyNumberFormat="1" applyFont="1" applyFill="1" applyBorder="1" applyAlignment="1">
      <alignment horizontal="right" indent="1"/>
    </xf>
    <xf numFmtId="3" fontId="1" fillId="4" borderId="32" xfId="18" applyNumberFormat="1" applyFont="1" applyFill="1" applyBorder="1" applyAlignment="1">
      <alignment horizontal="right" indent="1"/>
    </xf>
    <xf numFmtId="3" fontId="15" fillId="4" borderId="44" xfId="18" applyNumberFormat="1" applyFont="1" applyFill="1" applyBorder="1" applyAlignment="1">
      <alignment horizontal="right" vertical="center" wrapText="1" indent="1"/>
    </xf>
    <xf numFmtId="3" fontId="38" fillId="4" borderId="41" xfId="19" applyNumberFormat="1" applyFont="1" applyFill="1" applyBorder="1" applyAlignment="1">
      <alignment horizontal="right" indent="3"/>
    </xf>
    <xf numFmtId="3" fontId="38" fillId="0" borderId="0" xfId="19" applyNumberFormat="1" applyFont="1" applyFill="1" applyBorder="1" applyAlignment="1">
      <alignment horizontal="right" indent="3"/>
    </xf>
    <xf numFmtId="3" fontId="38" fillId="0" borderId="34" xfId="19" applyNumberFormat="1" applyFont="1" applyFill="1" applyBorder="1" applyAlignment="1">
      <alignment horizontal="right" indent="3"/>
    </xf>
    <xf numFmtId="3" fontId="38" fillId="0" borderId="30" xfId="19" applyNumberFormat="1" applyFont="1" applyFill="1" applyBorder="1" applyAlignment="1">
      <alignment horizontal="right" indent="1"/>
    </xf>
    <xf numFmtId="3" fontId="38" fillId="4" borderId="68" xfId="19" applyNumberFormat="1" applyFont="1" applyFill="1" applyBorder="1" applyAlignment="1">
      <alignment horizontal="right" indent="3"/>
    </xf>
    <xf numFmtId="3" fontId="38" fillId="4" borderId="65" xfId="19" applyNumberFormat="1" applyFont="1" applyFill="1" applyBorder="1" applyAlignment="1">
      <alignment horizontal="right" indent="3"/>
    </xf>
    <xf numFmtId="3" fontId="38" fillId="4" borderId="60" xfId="19" applyNumberFormat="1" applyFont="1" applyFill="1" applyBorder="1" applyAlignment="1">
      <alignment horizontal="right" indent="3"/>
    </xf>
    <xf numFmtId="3" fontId="1" fillId="0" borderId="30" xfId="18" applyNumberFormat="1" applyFont="1" applyFill="1" applyBorder="1" applyAlignment="1">
      <alignment horizontal="right" indent="1"/>
    </xf>
    <xf numFmtId="3" fontId="1" fillId="4" borderId="30" xfId="18" applyNumberFormat="1" applyFont="1" applyFill="1" applyBorder="1" applyAlignment="1">
      <alignment horizontal="right" indent="1"/>
    </xf>
    <xf numFmtId="3" fontId="15" fillId="4" borderId="41" xfId="18" applyNumberFormat="1" applyFont="1" applyFill="1" applyBorder="1" applyAlignment="1">
      <alignment horizontal="right" vertical="center" wrapText="1" indent="1"/>
    </xf>
    <xf numFmtId="165" fontId="22" fillId="0" borderId="42" xfId="19" applyNumberFormat="1" applyFont="1" applyFill="1" applyBorder="1" applyAlignment="1">
      <alignment horizontal="right" indent="2"/>
    </xf>
    <xf numFmtId="165" fontId="22" fillId="0" borderId="0" xfId="19" applyNumberFormat="1" applyFont="1" applyFill="1" applyBorder="1" applyAlignment="1">
      <alignment horizontal="right" indent="2"/>
    </xf>
    <xf numFmtId="165" fontId="22" fillId="0" borderId="34" xfId="19" applyNumberFormat="1" applyFont="1" applyFill="1" applyBorder="1" applyAlignment="1">
      <alignment horizontal="right" indent="2"/>
    </xf>
    <xf numFmtId="165" fontId="22" fillId="0" borderId="0" xfId="19" applyNumberFormat="1" applyFont="1" applyFill="1" applyBorder="1" applyAlignment="1">
      <alignment horizontal="right"/>
    </xf>
    <xf numFmtId="165" fontId="22" fillId="0" borderId="35" xfId="19" applyNumberFormat="1" applyFont="1" applyFill="1" applyBorder="1" applyAlignment="1">
      <alignment horizontal="right" indent="2"/>
    </xf>
    <xf numFmtId="0" fontId="41" fillId="0" borderId="34" xfId="18" applyFont="1" applyFill="1" applyBorder="1" applyAlignment="1">
      <alignment horizontal="right"/>
    </xf>
    <xf numFmtId="0" fontId="15" fillId="0" borderId="42" xfId="18" applyFont="1" applyBorder="1" applyAlignment="1">
      <alignment horizontal="center" vertical="center" textRotation="90" wrapText="1"/>
    </xf>
    <xf numFmtId="0" fontId="13" fillId="0" borderId="0" xfId="18" applyFont="1" applyFill="1" applyBorder="1" applyAlignment="1">
      <alignment horizontal="right"/>
    </xf>
    <xf numFmtId="3" fontId="21" fillId="0" borderId="42" xfId="18" applyNumberFormat="1" applyFont="1" applyFill="1" applyBorder="1" applyAlignment="1">
      <alignment horizontal="right" indent="2"/>
    </xf>
    <xf numFmtId="3" fontId="21" fillId="0" borderId="0" xfId="18" applyNumberFormat="1" applyFont="1" applyFill="1" applyBorder="1" applyAlignment="1">
      <alignment horizontal="right" indent="2"/>
    </xf>
    <xf numFmtId="165" fontId="14" fillId="0" borderId="34" xfId="18" applyNumberFormat="1" applyFont="1" applyFill="1" applyBorder="1" applyAlignment="1">
      <alignment horizontal="right" indent="2"/>
    </xf>
    <xf numFmtId="3" fontId="21" fillId="0" borderId="34" xfId="18" applyNumberFormat="1" applyFont="1" applyFill="1" applyBorder="1" applyAlignment="1">
      <alignment horizontal="right" indent="2"/>
    </xf>
    <xf numFmtId="0" fontId="21" fillId="0" borderId="0" xfId="18" applyFont="1" applyFill="1" applyBorder="1" applyAlignment="1">
      <alignment horizontal="right"/>
    </xf>
    <xf numFmtId="3" fontId="21" fillId="0" borderId="35" xfId="18" applyNumberFormat="1" applyFont="1" applyFill="1" applyBorder="1" applyAlignment="1">
      <alignment horizontal="right" indent="2"/>
    </xf>
    <xf numFmtId="0" fontId="13" fillId="0" borderId="34" xfId="18" applyFont="1" applyFill="1" applyBorder="1" applyAlignment="1">
      <alignment horizontal="right"/>
    </xf>
    <xf numFmtId="3" fontId="19" fillId="0" borderId="42" xfId="18" applyNumberFormat="1" applyFont="1" applyFill="1" applyBorder="1" applyAlignment="1">
      <alignment horizontal="right" indent="2"/>
    </xf>
    <xf numFmtId="3" fontId="19" fillId="0" borderId="0" xfId="18" applyNumberFormat="1" applyFont="1" applyFill="1" applyBorder="1" applyAlignment="1">
      <alignment horizontal="right" indent="2"/>
    </xf>
    <xf numFmtId="165" fontId="12" fillId="0" borderId="34" xfId="18" applyNumberFormat="1" applyFont="1" applyFill="1" applyBorder="1" applyAlignment="1">
      <alignment horizontal="right" indent="2"/>
    </xf>
    <xf numFmtId="3" fontId="19" fillId="0" borderId="34" xfId="18" applyNumberFormat="1" applyFont="1" applyFill="1" applyBorder="1" applyAlignment="1">
      <alignment horizontal="right" indent="2"/>
    </xf>
    <xf numFmtId="0" fontId="19" fillId="0" borderId="0" xfId="18" applyFont="1" applyFill="1" applyBorder="1" applyAlignment="1">
      <alignment horizontal="right"/>
    </xf>
    <xf numFmtId="3" fontId="19" fillId="0" borderId="35" xfId="18" applyNumberFormat="1" applyFont="1" applyFill="1" applyBorder="1" applyAlignment="1">
      <alignment horizontal="right" indent="2"/>
    </xf>
    <xf numFmtId="0" fontId="1" fillId="0" borderId="34" xfId="18" applyFont="1" applyFill="1" applyBorder="1" applyAlignment="1">
      <alignment horizontal="right"/>
    </xf>
    <xf numFmtId="0" fontId="13" fillId="0" borderId="0" xfId="18" applyFont="1" applyFill="1" applyBorder="1" applyAlignment="1">
      <alignment horizontal="left"/>
    </xf>
    <xf numFmtId="3" fontId="1" fillId="0" borderId="43" xfId="18" applyNumberFormat="1" applyFont="1" applyBorder="1" applyAlignment="1">
      <alignment horizontal="right" indent="2"/>
    </xf>
    <xf numFmtId="3" fontId="1" fillId="0" borderId="0" xfId="18" applyNumberFormat="1" applyFont="1" applyBorder="1"/>
    <xf numFmtId="3" fontId="1" fillId="0" borderId="59" xfId="18" applyNumberFormat="1" applyFont="1" applyBorder="1" applyAlignment="1">
      <alignment horizontal="right" indent="2"/>
    </xf>
    <xf numFmtId="165" fontId="12" fillId="0" borderId="40" xfId="18" applyNumberFormat="1" applyFont="1" applyFill="1" applyBorder="1" applyAlignment="1">
      <alignment horizontal="right" indent="2"/>
    </xf>
    <xf numFmtId="3" fontId="1" fillId="0" borderId="40" xfId="18" applyNumberFormat="1" applyFont="1" applyBorder="1"/>
    <xf numFmtId="3" fontId="1" fillId="0" borderId="29" xfId="18" applyNumberFormat="1" applyFont="1" applyBorder="1" applyAlignment="1">
      <alignment horizontal="right" indent="2"/>
    </xf>
    <xf numFmtId="0" fontId="1" fillId="0" borderId="40" xfId="18" applyFont="1" applyFill="1" applyBorder="1"/>
    <xf numFmtId="0" fontId="1" fillId="0" borderId="43" xfId="18" applyFont="1" applyBorder="1"/>
    <xf numFmtId="0" fontId="13" fillId="0" borderId="59" xfId="18" applyFont="1" applyBorder="1" applyAlignment="1">
      <alignment horizontal="left"/>
    </xf>
    <xf numFmtId="0" fontId="1" fillId="0" borderId="0" xfId="18" applyFont="1" applyFill="1" applyBorder="1"/>
    <xf numFmtId="3" fontId="1" fillId="0" borderId="0" xfId="18" applyNumberFormat="1" applyFont="1" applyFill="1" applyBorder="1" applyAlignment="1">
      <alignment horizontal="right" indent="2"/>
    </xf>
    <xf numFmtId="3" fontId="1" fillId="0" borderId="0" xfId="18" applyNumberFormat="1" applyFont="1" applyFill="1" applyBorder="1" applyAlignment="1">
      <alignment horizontal="right" vertical="center" wrapText="1" indent="2"/>
    </xf>
    <xf numFmtId="165" fontId="17" fillId="0" borderId="0" xfId="19" applyNumberFormat="1" applyFont="1" applyFill="1" applyBorder="1" applyAlignment="1"/>
    <xf numFmtId="0" fontId="37" fillId="0" borderId="0" xfId="18" applyFont="1" applyFill="1" applyBorder="1" applyAlignment="1">
      <alignment horizontal="center"/>
    </xf>
    <xf numFmtId="0" fontId="21" fillId="0" borderId="0" xfId="18" applyFont="1" applyFill="1" applyBorder="1" applyAlignment="1">
      <alignment horizontal="center" vertical="center" textRotation="90" wrapText="1"/>
    </xf>
    <xf numFmtId="0" fontId="1" fillId="0" borderId="31" xfId="18" applyFont="1" applyBorder="1"/>
    <xf numFmtId="3" fontId="1" fillId="4" borderId="57" xfId="18" applyNumberFormat="1" applyFont="1" applyFill="1" applyBorder="1" applyAlignment="1">
      <alignment horizontal="right" indent="2"/>
    </xf>
    <xf numFmtId="3" fontId="1" fillId="4" borderId="56" xfId="18" applyNumberFormat="1" applyFont="1" applyFill="1" applyBorder="1" applyAlignment="1">
      <alignment horizontal="right" indent="2"/>
    </xf>
    <xf numFmtId="165" fontId="17" fillId="0" borderId="54" xfId="19" applyNumberFormat="1" applyFont="1" applyFill="1" applyBorder="1" applyAlignment="1"/>
    <xf numFmtId="3" fontId="1" fillId="0" borderId="58" xfId="18" applyNumberFormat="1" applyFont="1" applyFill="1" applyBorder="1" applyAlignment="1">
      <alignment horizontal="right" vertical="center" wrapText="1" indent="2"/>
    </xf>
    <xf numFmtId="0" fontId="1" fillId="0" borderId="33" xfId="18" applyFont="1" applyFill="1" applyBorder="1" applyAlignment="1">
      <alignment horizontal="right"/>
    </xf>
    <xf numFmtId="3" fontId="1" fillId="4" borderId="55" xfId="18" applyNumberFormat="1" applyFont="1" applyFill="1" applyBorder="1" applyAlignment="1">
      <alignment horizontal="right" indent="2"/>
    </xf>
    <xf numFmtId="0" fontId="37" fillId="0" borderId="31" xfId="18" applyFont="1" applyFill="1" applyBorder="1" applyAlignment="1">
      <alignment horizontal="center"/>
    </xf>
    <xf numFmtId="0" fontId="1" fillId="4" borderId="58" xfId="18" applyFont="1" applyFill="1" applyBorder="1" applyAlignment="1">
      <alignment horizontal="right"/>
    </xf>
    <xf numFmtId="0" fontId="1" fillId="4" borderId="62" xfId="18" applyFont="1" applyFill="1" applyBorder="1" applyAlignment="1">
      <alignment horizontal="right"/>
    </xf>
    <xf numFmtId="0" fontId="1" fillId="0" borderId="35" xfId="18" applyFont="1" applyBorder="1"/>
    <xf numFmtId="3" fontId="1" fillId="4" borderId="48" xfId="18" applyNumberFormat="1" applyFont="1" applyFill="1" applyBorder="1" applyAlignment="1">
      <alignment horizontal="right" indent="2"/>
    </xf>
    <xf numFmtId="3" fontId="1" fillId="4" borderId="47" xfId="18" applyNumberFormat="1" applyFont="1" applyFill="1" applyBorder="1" applyAlignment="1">
      <alignment horizontal="right" indent="2"/>
    </xf>
    <xf numFmtId="165" fontId="17" fillId="0" borderId="45" xfId="19" applyNumberFormat="1" applyFont="1" applyFill="1" applyBorder="1" applyAlignment="1"/>
    <xf numFmtId="3" fontId="1" fillId="0" borderId="34" xfId="18" applyNumberFormat="1" applyFont="1" applyFill="1" applyBorder="1" applyAlignment="1">
      <alignment horizontal="right" vertical="center" wrapText="1" indent="2"/>
    </xf>
    <xf numFmtId="0" fontId="1" fillId="0" borderId="32" xfId="18" applyFont="1" applyFill="1" applyBorder="1" applyAlignment="1">
      <alignment horizontal="right"/>
    </xf>
    <xf numFmtId="3" fontId="1" fillId="4" borderId="46" xfId="18" applyNumberFormat="1" applyFont="1" applyFill="1" applyBorder="1" applyAlignment="1">
      <alignment horizontal="right" indent="2"/>
    </xf>
    <xf numFmtId="0" fontId="37" fillId="0" borderId="35" xfId="18" applyFont="1" applyFill="1" applyBorder="1" applyAlignment="1">
      <alignment horizontal="center"/>
    </xf>
    <xf numFmtId="0" fontId="1" fillId="4" borderId="67" xfId="18" applyFont="1" applyFill="1" applyBorder="1" applyAlignment="1">
      <alignment horizontal="right"/>
    </xf>
    <xf numFmtId="0" fontId="1" fillId="4" borderId="42" xfId="18" applyFont="1" applyFill="1" applyBorder="1" applyAlignment="1">
      <alignment horizontal="right"/>
    </xf>
    <xf numFmtId="0" fontId="1" fillId="4" borderId="41" xfId="18" applyFont="1" applyFill="1" applyBorder="1" applyAlignment="1">
      <alignment horizontal="right"/>
    </xf>
    <xf numFmtId="3" fontId="20" fillId="4" borderId="48" xfId="18" applyNumberFormat="1" applyFont="1" applyFill="1" applyBorder="1" applyAlignment="1">
      <alignment horizontal="right" indent="2"/>
    </xf>
    <xf numFmtId="3" fontId="20" fillId="4" borderId="47" xfId="18" applyNumberFormat="1" applyFont="1" applyFill="1" applyBorder="1" applyAlignment="1">
      <alignment horizontal="right" indent="2"/>
    </xf>
    <xf numFmtId="3" fontId="20" fillId="4" borderId="46" xfId="18" applyNumberFormat="1" applyFont="1" applyFill="1" applyBorder="1" applyAlignment="1">
      <alignment horizontal="right" indent="2"/>
    </xf>
    <xf numFmtId="0" fontId="1" fillId="0" borderId="29" xfId="18" applyFont="1" applyBorder="1"/>
    <xf numFmtId="3" fontId="1" fillId="4" borderId="39" xfId="18" applyNumberFormat="1" applyFont="1" applyFill="1" applyBorder="1" applyAlignment="1">
      <alignment horizontal="right" indent="2"/>
    </xf>
    <xf numFmtId="3" fontId="1" fillId="0" borderId="0" xfId="18" applyNumberFormat="1" applyFont="1" applyFill="1" applyBorder="1"/>
    <xf numFmtId="3" fontId="1" fillId="4" borderId="36" xfId="18" applyNumberFormat="1" applyFont="1" applyFill="1" applyBorder="1" applyAlignment="1">
      <alignment horizontal="right" indent="2"/>
    </xf>
    <xf numFmtId="165" fontId="12" fillId="0" borderId="37" xfId="18" applyNumberFormat="1" applyFont="1" applyFill="1" applyBorder="1" applyAlignment="1">
      <alignment horizontal="right" indent="2"/>
    </xf>
    <xf numFmtId="3" fontId="1" fillId="0" borderId="40" xfId="18" applyNumberFormat="1" applyFont="1" applyFill="1" applyBorder="1"/>
    <xf numFmtId="0" fontId="13" fillId="0" borderId="30" xfId="18" applyFont="1" applyFill="1" applyBorder="1" applyAlignment="1">
      <alignment horizontal="right"/>
    </xf>
    <xf numFmtId="3" fontId="1" fillId="4" borderId="38" xfId="18" applyNumberFormat="1" applyFont="1" applyFill="1" applyBorder="1" applyAlignment="1">
      <alignment horizontal="right" indent="2"/>
    </xf>
    <xf numFmtId="0" fontId="37" fillId="0" borderId="29" xfId="18" applyFont="1" applyFill="1" applyBorder="1" applyAlignment="1">
      <alignment horizontal="center"/>
    </xf>
    <xf numFmtId="0" fontId="13" fillId="4" borderId="40" xfId="18" applyFont="1" applyFill="1" applyBorder="1" applyAlignment="1">
      <alignment horizontal="left"/>
    </xf>
    <xf numFmtId="0" fontId="13" fillId="4" borderId="59" xfId="18" applyFont="1" applyFill="1" applyBorder="1" applyAlignment="1">
      <alignment horizontal="left"/>
    </xf>
    <xf numFmtId="165" fontId="42" fillId="3" borderId="57" xfId="19" applyNumberFormat="1" applyFont="1" applyFill="1" applyBorder="1" applyAlignment="1">
      <alignment horizontal="right" indent="2"/>
    </xf>
    <xf numFmtId="165" fontId="42" fillId="0" borderId="0" xfId="19" applyNumberFormat="1" applyFont="1" applyBorder="1" applyAlignment="1">
      <alignment horizontal="right" vertical="center" wrapText="1" indent="2"/>
    </xf>
    <xf numFmtId="165" fontId="42" fillId="3" borderId="56" xfId="19" applyNumberFormat="1" applyFont="1" applyFill="1" applyBorder="1" applyAlignment="1">
      <alignment horizontal="right" indent="2"/>
    </xf>
    <xf numFmtId="165" fontId="17" fillId="0" borderId="58" xfId="19" applyNumberFormat="1" applyFont="1" applyFill="1" applyBorder="1" applyAlignment="1"/>
    <xf numFmtId="165" fontId="42" fillId="0" borderId="58" xfId="19" applyNumberFormat="1" applyFont="1" applyBorder="1" applyAlignment="1">
      <alignment horizontal="right" vertical="center" wrapText="1" indent="2"/>
    </xf>
    <xf numFmtId="0" fontId="42" fillId="0" borderId="0" xfId="18" applyFont="1" applyFill="1" applyBorder="1" applyAlignment="1">
      <alignment horizontal="right"/>
    </xf>
    <xf numFmtId="165" fontId="42" fillId="3" borderId="55" xfId="19" applyNumberFormat="1" applyFont="1" applyFill="1" applyBorder="1" applyAlignment="1">
      <alignment horizontal="right" indent="2"/>
    </xf>
    <xf numFmtId="0" fontId="1" fillId="0" borderId="64" xfId="18" applyFont="1" applyFill="1" applyBorder="1" applyAlignment="1">
      <alignment horizontal="right"/>
    </xf>
    <xf numFmtId="3" fontId="1" fillId="3" borderId="48" xfId="18" applyNumberFormat="1" applyFont="1" applyFill="1" applyBorder="1" applyAlignment="1">
      <alignment horizontal="right" indent="2"/>
    </xf>
    <xf numFmtId="3" fontId="1" fillId="0" borderId="0" xfId="18" applyNumberFormat="1" applyFont="1" applyBorder="1" applyAlignment="1">
      <alignment horizontal="right" vertical="center" wrapText="1" indent="2"/>
    </xf>
    <xf numFmtId="3" fontId="1" fillId="3" borderId="47" xfId="18" applyNumberFormat="1" applyFont="1" applyFill="1" applyBorder="1" applyAlignment="1">
      <alignment horizontal="right" indent="2"/>
    </xf>
    <xf numFmtId="165" fontId="17" fillId="0" borderId="34" xfId="19" applyNumberFormat="1" applyFont="1" applyFill="1" applyBorder="1" applyAlignment="1"/>
    <xf numFmtId="3" fontId="1" fillId="0" borderId="34" xfId="18" applyNumberFormat="1" applyFont="1" applyBorder="1" applyAlignment="1">
      <alignment horizontal="right" vertical="center" wrapText="1" indent="2"/>
    </xf>
    <xf numFmtId="3" fontId="1" fillId="3" borderId="46" xfId="18" applyNumberFormat="1" applyFont="1" applyFill="1" applyBorder="1" applyAlignment="1">
      <alignment horizontal="right" indent="2"/>
    </xf>
    <xf numFmtId="3" fontId="1" fillId="0" borderId="43" xfId="18" applyNumberFormat="1" applyFont="1" applyFill="1" applyBorder="1" applyAlignment="1">
      <alignment horizontal="right" indent="2"/>
    </xf>
    <xf numFmtId="3" fontId="1" fillId="0" borderId="59" xfId="18" applyNumberFormat="1" applyFont="1" applyFill="1" applyBorder="1" applyAlignment="1">
      <alignment horizontal="right" indent="2"/>
    </xf>
    <xf numFmtId="3" fontId="1" fillId="0" borderId="29" xfId="18" applyNumberFormat="1" applyFont="1" applyFill="1" applyBorder="1" applyAlignment="1">
      <alignment horizontal="right" indent="2"/>
    </xf>
    <xf numFmtId="0" fontId="13" fillId="0" borderId="43" xfId="18" applyFont="1" applyFill="1" applyBorder="1" applyAlignment="1">
      <alignment horizontal="left"/>
    </xf>
    <xf numFmtId="3" fontId="1" fillId="3" borderId="52" xfId="18" applyNumberFormat="1" applyFont="1" applyFill="1" applyBorder="1" applyAlignment="1">
      <alignment horizontal="right" indent="2"/>
    </xf>
    <xf numFmtId="3" fontId="1" fillId="3" borderId="51" xfId="18" applyNumberFormat="1" applyFont="1" applyFill="1" applyBorder="1" applyAlignment="1">
      <alignment horizontal="right" indent="2"/>
    </xf>
    <xf numFmtId="3" fontId="1" fillId="3" borderId="55" xfId="18" applyNumberFormat="1" applyFont="1" applyFill="1" applyBorder="1" applyAlignment="1">
      <alignment horizontal="right" indent="2"/>
    </xf>
    <xf numFmtId="0" fontId="1" fillId="3" borderId="70" xfId="18" applyFont="1" applyFill="1" applyBorder="1" applyAlignment="1">
      <alignment horizontal="right"/>
    </xf>
    <xf numFmtId="3" fontId="1" fillId="3" borderId="50" xfId="18" applyNumberFormat="1" applyFont="1" applyFill="1" applyBorder="1" applyAlignment="1">
      <alignment horizontal="right" indent="2"/>
    </xf>
    <xf numFmtId="0" fontId="1" fillId="3" borderId="30" xfId="18" applyFont="1" applyFill="1" applyBorder="1" applyAlignment="1">
      <alignment horizontal="right"/>
    </xf>
    <xf numFmtId="3" fontId="23" fillId="3" borderId="52" xfId="18" applyNumberFormat="1" applyFont="1" applyFill="1" applyBorder="1" applyAlignment="1">
      <alignment horizontal="right" indent="2"/>
    </xf>
    <xf numFmtId="3" fontId="23" fillId="0" borderId="0" xfId="18" applyNumberFormat="1" applyFont="1" applyBorder="1" applyAlignment="1">
      <alignment horizontal="right" vertical="center" wrapText="1" indent="2"/>
    </xf>
    <xf numFmtId="3" fontId="23" fillId="3" borderId="51" xfId="18" applyNumberFormat="1" applyFont="1" applyFill="1" applyBorder="1" applyAlignment="1">
      <alignment horizontal="right" indent="2"/>
    </xf>
    <xf numFmtId="3" fontId="23" fillId="3" borderId="66" xfId="18" applyNumberFormat="1" applyFont="1" applyFill="1" applyBorder="1" applyAlignment="1">
      <alignment horizontal="right" indent="2"/>
    </xf>
    <xf numFmtId="3" fontId="1" fillId="3" borderId="66" xfId="18" applyNumberFormat="1" applyFont="1" applyFill="1" applyBorder="1" applyAlignment="1">
      <alignment horizontal="right" indent="2"/>
    </xf>
    <xf numFmtId="3" fontId="1" fillId="17" borderId="48" xfId="18" applyNumberFormat="1" applyFont="1" applyFill="1" applyBorder="1" applyAlignment="1">
      <alignment horizontal="right" indent="2"/>
    </xf>
    <xf numFmtId="3" fontId="1" fillId="17" borderId="47" xfId="18" applyNumberFormat="1" applyFont="1" applyFill="1" applyBorder="1" applyAlignment="1">
      <alignment horizontal="right" indent="2"/>
    </xf>
    <xf numFmtId="3" fontId="1" fillId="17" borderId="46" xfId="18" applyNumberFormat="1" applyFont="1" applyFill="1" applyBorder="1" applyAlignment="1">
      <alignment horizontal="right" indent="2"/>
    </xf>
    <xf numFmtId="3" fontId="23" fillId="3" borderId="65" xfId="18" applyNumberFormat="1" applyFont="1" applyFill="1" applyBorder="1" applyAlignment="1">
      <alignment horizontal="right" indent="2"/>
    </xf>
    <xf numFmtId="3" fontId="1" fillId="3" borderId="65" xfId="18" applyNumberFormat="1" applyFont="1" applyFill="1" applyBorder="1" applyAlignment="1">
      <alignment horizontal="right" indent="2"/>
    </xf>
    <xf numFmtId="3" fontId="1" fillId="3" borderId="60" xfId="18" applyNumberFormat="1" applyFont="1" applyFill="1" applyBorder="1" applyAlignment="1">
      <alignment horizontal="right" indent="2"/>
    </xf>
    <xf numFmtId="3" fontId="1" fillId="0" borderId="0" xfId="18" applyNumberFormat="1" applyFont="1"/>
    <xf numFmtId="3" fontId="1" fillId="0" borderId="0" xfId="18" applyNumberFormat="1" applyFont="1" applyBorder="1" applyAlignment="1">
      <alignment horizontal="right" indent="2"/>
    </xf>
    <xf numFmtId="165" fontId="12" fillId="0" borderId="34" xfId="19" applyNumberFormat="1" applyFont="1" applyFill="1" applyBorder="1" applyAlignment="1">
      <alignment horizontal="right" indent="2"/>
    </xf>
    <xf numFmtId="3" fontId="1" fillId="0" borderId="42" xfId="18" applyNumberFormat="1" applyFont="1" applyBorder="1" applyAlignment="1">
      <alignment horizontal="right" indent="2"/>
    </xf>
    <xf numFmtId="0" fontId="13" fillId="0" borderId="43" xfId="18" applyFont="1" applyBorder="1" applyAlignment="1">
      <alignment horizontal="left"/>
    </xf>
    <xf numFmtId="3" fontId="1" fillId="3" borderId="57" xfId="18" applyNumberFormat="1" applyFont="1" applyFill="1" applyBorder="1" applyAlignment="1">
      <alignment horizontal="right" indent="2"/>
    </xf>
    <xf numFmtId="3" fontId="1" fillId="3" borderId="56" xfId="18" applyNumberFormat="1" applyFont="1" applyFill="1" applyBorder="1" applyAlignment="1">
      <alignment horizontal="right" indent="2"/>
    </xf>
    <xf numFmtId="0" fontId="1" fillId="3" borderId="0" xfId="18" applyFont="1" applyFill="1" applyBorder="1" applyAlignment="1">
      <alignment horizontal="right"/>
    </xf>
    <xf numFmtId="166" fontId="1" fillId="0" borderId="0" xfId="18" applyNumberFormat="1" applyFont="1"/>
    <xf numFmtId="0" fontId="1" fillId="0" borderId="35" xfId="18" applyFont="1" applyBorder="1" applyAlignment="1">
      <alignment wrapText="1"/>
    </xf>
    <xf numFmtId="165" fontId="12" fillId="0" borderId="40" xfId="19" applyNumberFormat="1" applyFont="1" applyFill="1" applyBorder="1" applyAlignment="1">
      <alignment horizontal="right" indent="2"/>
    </xf>
    <xf numFmtId="3" fontId="1" fillId="0" borderId="34" xfId="18" applyNumberFormat="1" applyFont="1" applyBorder="1"/>
    <xf numFmtId="0" fontId="13" fillId="0" borderId="0" xfId="18" applyFont="1" applyBorder="1" applyAlignment="1">
      <alignment horizontal="left"/>
    </xf>
    <xf numFmtId="0" fontId="1" fillId="0" borderId="0" xfId="18" applyFont="1" applyAlignment="1">
      <alignment horizontal="left" indent="2"/>
    </xf>
    <xf numFmtId="3" fontId="1" fillId="0" borderId="58" xfId="18" applyNumberFormat="1" applyFont="1" applyBorder="1" applyAlignment="1">
      <alignment horizontal="right" vertical="center" wrapText="1" indent="2"/>
    </xf>
    <xf numFmtId="3" fontId="1" fillId="0" borderId="35" xfId="18" applyNumberFormat="1" applyFont="1" applyBorder="1" applyAlignment="1">
      <alignment horizontal="right" indent="2"/>
    </xf>
    <xf numFmtId="165" fontId="43" fillId="17" borderId="34" xfId="19" applyNumberFormat="1" applyFont="1" applyFill="1" applyBorder="1" applyAlignment="1"/>
    <xf numFmtId="3" fontId="44" fillId="0" borderId="52" xfId="18" applyNumberFormat="1" applyFont="1" applyFill="1" applyBorder="1" applyAlignment="1">
      <alignment horizontal="right" indent="2"/>
    </xf>
    <xf numFmtId="3" fontId="44" fillId="3" borderId="51" xfId="18" applyNumberFormat="1" applyFont="1" applyFill="1" applyBorder="1" applyAlignment="1">
      <alignment horizontal="right" indent="2"/>
    </xf>
    <xf numFmtId="0" fontId="44" fillId="0" borderId="0" xfId="18" applyFont="1" applyFill="1" applyBorder="1" applyAlignment="1">
      <alignment horizontal="right"/>
    </xf>
    <xf numFmtId="3" fontId="44" fillId="3" borderId="52" xfId="18" applyNumberFormat="1" applyFont="1" applyFill="1" applyBorder="1" applyAlignment="1">
      <alignment horizontal="right" indent="2"/>
    </xf>
    <xf numFmtId="3" fontId="44" fillId="17" borderId="51" xfId="18" applyNumberFormat="1" applyFont="1" applyFill="1" applyBorder="1" applyAlignment="1">
      <alignment horizontal="right" indent="2"/>
    </xf>
    <xf numFmtId="3" fontId="44" fillId="3" borderId="50" xfId="18" applyNumberFormat="1" applyFont="1" applyFill="1" applyBorder="1" applyAlignment="1">
      <alignment horizontal="right" indent="2"/>
    </xf>
    <xf numFmtId="3" fontId="23" fillId="3" borderId="61" xfId="18" applyNumberFormat="1" applyFont="1" applyFill="1" applyBorder="1" applyAlignment="1">
      <alignment horizontal="right" indent="2"/>
    </xf>
    <xf numFmtId="3" fontId="23" fillId="3" borderId="77" xfId="18" applyNumberFormat="1" applyFont="1" applyFill="1" applyBorder="1" applyAlignment="1">
      <alignment horizontal="right" indent="2"/>
    </xf>
    <xf numFmtId="165" fontId="43" fillId="0" borderId="34" xfId="19" applyNumberFormat="1" applyFont="1" applyFill="1" applyBorder="1" applyAlignment="1"/>
    <xf numFmtId="3" fontId="44" fillId="3" borderId="61" xfId="18" applyNumberFormat="1" applyFont="1" applyFill="1" applyBorder="1" applyAlignment="1">
      <alignment horizontal="right" indent="2"/>
    </xf>
    <xf numFmtId="3" fontId="44" fillId="3" borderId="77" xfId="18" applyNumberFormat="1" applyFont="1" applyFill="1" applyBorder="1" applyAlignment="1">
      <alignment horizontal="right" indent="2"/>
    </xf>
    <xf numFmtId="3" fontId="44" fillId="3" borderId="66" xfId="18" applyNumberFormat="1" applyFont="1" applyFill="1" applyBorder="1" applyAlignment="1">
      <alignment horizontal="right" indent="2"/>
    </xf>
    <xf numFmtId="3" fontId="44" fillId="3" borderId="65" xfId="18" applyNumberFormat="1" applyFont="1" applyFill="1" applyBorder="1" applyAlignment="1">
      <alignment horizontal="right" indent="2"/>
    </xf>
    <xf numFmtId="3" fontId="44" fillId="3" borderId="46" xfId="18" applyNumberFormat="1" applyFont="1" applyFill="1" applyBorder="1" applyAlignment="1">
      <alignment horizontal="right" indent="2"/>
    </xf>
    <xf numFmtId="3" fontId="44" fillId="3" borderId="60" xfId="18" applyNumberFormat="1" applyFont="1" applyFill="1" applyBorder="1" applyAlignment="1">
      <alignment horizontal="right" indent="2"/>
    </xf>
    <xf numFmtId="3" fontId="44" fillId="0" borderId="43" xfId="18" applyNumberFormat="1" applyFont="1" applyBorder="1" applyAlignment="1">
      <alignment horizontal="right" indent="2"/>
    </xf>
    <xf numFmtId="3" fontId="44" fillId="0" borderId="59" xfId="18" applyNumberFormat="1" applyFont="1" applyBorder="1" applyAlignment="1">
      <alignment horizontal="right" indent="2"/>
    </xf>
    <xf numFmtId="165" fontId="45" fillId="0" borderId="40" xfId="18" applyNumberFormat="1" applyFont="1" applyFill="1" applyBorder="1" applyAlignment="1">
      <alignment horizontal="right" indent="2"/>
    </xf>
    <xf numFmtId="0" fontId="1" fillId="0" borderId="34" xfId="18" applyFont="1" applyBorder="1"/>
    <xf numFmtId="0" fontId="46" fillId="0" borderId="0" xfId="18" applyFont="1" applyFill="1" applyBorder="1" applyAlignment="1">
      <alignment horizontal="right"/>
    </xf>
    <xf numFmtId="3" fontId="44" fillId="0" borderId="29" xfId="18" applyNumberFormat="1" applyFont="1" applyBorder="1" applyAlignment="1">
      <alignment horizontal="right" indent="2"/>
    </xf>
    <xf numFmtId="0" fontId="1" fillId="0" borderId="28" xfId="18" applyFont="1" applyBorder="1"/>
    <xf numFmtId="0" fontId="1" fillId="0" borderId="0" xfId="18" applyFont="1" applyFill="1" applyBorder="1" applyAlignment="1">
      <alignment horizontal="right" vertical="center"/>
    </xf>
    <xf numFmtId="0" fontId="45" fillId="3" borderId="29" xfId="18" applyFont="1" applyFill="1" applyBorder="1" applyAlignment="1">
      <alignment horizontal="center" vertical="center" wrapText="1"/>
    </xf>
    <xf numFmtId="165" fontId="45" fillId="0" borderId="28" xfId="18" applyNumberFormat="1" applyFont="1" applyFill="1" applyBorder="1" applyAlignment="1">
      <alignment vertical="center" wrapText="1"/>
    </xf>
    <xf numFmtId="0" fontId="16" fillId="0" borderId="28" xfId="18" applyFont="1" applyBorder="1"/>
    <xf numFmtId="0" fontId="45" fillId="0" borderId="0" xfId="18" applyFont="1" applyFill="1" applyBorder="1" applyAlignment="1">
      <alignment horizontal="right" vertical="center"/>
    </xf>
    <xf numFmtId="0" fontId="45" fillId="0" borderId="34" xfId="18" applyFont="1" applyFill="1" applyBorder="1" applyAlignment="1">
      <alignment horizontal="right" vertical="center"/>
    </xf>
    <xf numFmtId="0" fontId="37" fillId="0" borderId="29" xfId="18" applyFont="1" applyBorder="1" applyAlignment="1">
      <alignment horizontal="center" vertical="center"/>
    </xf>
    <xf numFmtId="0" fontId="1" fillId="0" borderId="27" xfId="18" applyFont="1" applyBorder="1" applyAlignment="1">
      <alignment horizontal="right" vertical="center"/>
    </xf>
    <xf numFmtId="0" fontId="15" fillId="0" borderId="25" xfId="18" applyFont="1" applyBorder="1" applyAlignment="1">
      <alignment horizontal="center" vertical="center" textRotation="90" wrapText="1"/>
    </xf>
    <xf numFmtId="3" fontId="44" fillId="0" borderId="0" xfId="18" applyNumberFormat="1" applyFont="1" applyAlignment="1">
      <alignment horizontal="right" indent="2"/>
    </xf>
    <xf numFmtId="165" fontId="45" fillId="0" borderId="0" xfId="18" applyNumberFormat="1" applyFont="1" applyFill="1" applyBorder="1" applyAlignment="1">
      <alignment horizontal="right" indent="2"/>
    </xf>
    <xf numFmtId="0" fontId="19" fillId="0" borderId="0" xfId="18" applyFont="1" applyBorder="1"/>
    <xf numFmtId="0" fontId="19" fillId="0" borderId="0" xfId="18" applyFont="1"/>
    <xf numFmtId="0" fontId="41" fillId="0" borderId="28" xfId="18" applyFont="1" applyBorder="1"/>
    <xf numFmtId="3" fontId="44" fillId="0" borderId="78" xfId="18" applyNumberFormat="1" applyFont="1" applyFill="1" applyBorder="1" applyAlignment="1">
      <alignment horizontal="right" indent="2"/>
    </xf>
    <xf numFmtId="3" fontId="44" fillId="3" borderId="79" xfId="18" applyNumberFormat="1" applyFont="1" applyFill="1" applyBorder="1" applyAlignment="1">
      <alignment horizontal="right" indent="2"/>
    </xf>
    <xf numFmtId="165" fontId="43" fillId="0" borderId="27" xfId="19" applyNumberFormat="1" applyFont="1" applyFill="1" applyBorder="1" applyAlignment="1"/>
    <xf numFmtId="3" fontId="44" fillId="3" borderId="78" xfId="18" applyNumberFormat="1" applyFont="1" applyFill="1" applyBorder="1" applyAlignment="1">
      <alignment horizontal="right" indent="2"/>
    </xf>
    <xf numFmtId="3" fontId="1" fillId="0" borderId="27" xfId="18" applyNumberFormat="1" applyFont="1" applyBorder="1" applyAlignment="1">
      <alignment horizontal="right" vertical="center" wrapText="1" indent="2"/>
    </xf>
    <xf numFmtId="3" fontId="44" fillId="3" borderId="28" xfId="18" applyNumberFormat="1" applyFont="1" applyFill="1" applyBorder="1" applyAlignment="1">
      <alignment horizontal="right" indent="2"/>
    </xf>
    <xf numFmtId="0" fontId="37" fillId="0" borderId="28" xfId="18" applyFont="1" applyFill="1" applyBorder="1" applyAlignment="1">
      <alignment horizontal="center"/>
    </xf>
    <xf numFmtId="0" fontId="1" fillId="0" borderId="27" xfId="18" applyFont="1" applyBorder="1"/>
    <xf numFmtId="0" fontId="41" fillId="0" borderId="25" xfId="18" applyFont="1" applyFill="1" applyBorder="1" applyAlignment="1">
      <alignment horizontal="left"/>
    </xf>
    <xf numFmtId="0" fontId="18" fillId="0" borderId="0" xfId="18" applyFont="1" applyFill="1" applyBorder="1" applyAlignment="1">
      <alignment horizontal="right"/>
    </xf>
    <xf numFmtId="165" fontId="43" fillId="0" borderId="64" xfId="19" applyNumberFormat="1" applyFont="1" applyFill="1" applyBorder="1" applyAlignment="1">
      <alignment horizontal="right" indent="2"/>
    </xf>
    <xf numFmtId="165" fontId="17" fillId="0" borderId="0" xfId="19" applyNumberFormat="1" applyFont="1" applyFill="1" applyBorder="1" applyAlignment="1">
      <alignment horizontal="center" vertical="center" wrapText="1"/>
    </xf>
    <xf numFmtId="165" fontId="43" fillId="0" borderId="53" xfId="19" applyNumberFormat="1" applyFont="1" applyFill="1" applyBorder="1" applyAlignment="1">
      <alignment horizontal="center" vertical="center" wrapText="1"/>
    </xf>
    <xf numFmtId="165" fontId="43" fillId="0" borderId="58" xfId="19" applyNumberFormat="1" applyFont="1" applyFill="1" applyBorder="1" applyAlignment="1">
      <alignment horizontal="right" indent="2"/>
    </xf>
    <xf numFmtId="165" fontId="17" fillId="0" borderId="58" xfId="19" applyNumberFormat="1" applyFont="1" applyFill="1" applyBorder="1" applyAlignment="1">
      <alignment horizontal="center" vertical="center" wrapText="1"/>
    </xf>
    <xf numFmtId="0" fontId="47" fillId="0" borderId="0" xfId="18" applyFont="1" applyFill="1" applyBorder="1" applyAlignment="1">
      <alignment horizontal="right"/>
    </xf>
    <xf numFmtId="165" fontId="43" fillId="0" borderId="53" xfId="19" applyNumberFormat="1" applyFont="1" applyFill="1" applyBorder="1" applyAlignment="1">
      <alignment horizontal="right" indent="2"/>
    </xf>
    <xf numFmtId="165" fontId="43" fillId="0" borderId="55" xfId="19" applyNumberFormat="1" applyFont="1" applyFill="1" applyBorder="1" applyAlignment="1">
      <alignment horizontal="right" indent="2"/>
    </xf>
    <xf numFmtId="0" fontId="1" fillId="0" borderId="58" xfId="18" applyFont="1" applyFill="1" applyBorder="1" applyAlignment="1">
      <alignment horizontal="right"/>
    </xf>
    <xf numFmtId="0" fontId="15" fillId="0" borderId="62" xfId="18" applyFont="1" applyBorder="1" applyAlignment="1">
      <alignment horizontal="center" vertical="center" textRotation="90" wrapText="1"/>
    </xf>
    <xf numFmtId="3" fontId="44" fillId="3" borderId="33" xfId="18" applyNumberFormat="1" applyFont="1" applyFill="1" applyBorder="1" applyAlignment="1">
      <alignment horizontal="right" indent="2"/>
    </xf>
    <xf numFmtId="3" fontId="44" fillId="3" borderId="49" xfId="18" applyNumberFormat="1" applyFont="1" applyFill="1" applyBorder="1" applyAlignment="1">
      <alignment horizontal="right" vertical="center" wrapText="1" indent="2"/>
    </xf>
    <xf numFmtId="3" fontId="44" fillId="3" borderId="49" xfId="18" applyNumberFormat="1" applyFont="1" applyFill="1" applyBorder="1" applyAlignment="1">
      <alignment horizontal="right" indent="2"/>
    </xf>
    <xf numFmtId="3" fontId="44" fillId="0" borderId="0" xfId="18" applyNumberFormat="1" applyFont="1" applyFill="1" applyBorder="1" applyAlignment="1">
      <alignment horizontal="right"/>
    </xf>
    <xf numFmtId="0" fontId="37" fillId="0" borderId="35" xfId="18" quotePrefix="1" applyFont="1" applyBorder="1" applyAlignment="1">
      <alignment horizontal="center"/>
    </xf>
    <xf numFmtId="0" fontId="1" fillId="0" borderId="34" xfId="18" quotePrefix="1" applyFont="1" applyBorder="1" applyAlignment="1">
      <alignment horizontal="right"/>
    </xf>
    <xf numFmtId="3" fontId="1" fillId="3" borderId="47" xfId="18" applyNumberFormat="1" applyFont="1" applyFill="1" applyBorder="1" applyAlignment="1">
      <alignment horizontal="right" vertical="center" wrapText="1" indent="2"/>
    </xf>
    <xf numFmtId="3" fontId="1" fillId="0" borderId="0" xfId="18" applyNumberFormat="1" applyFont="1" applyFill="1" applyBorder="1" applyAlignment="1">
      <alignment horizontal="right"/>
    </xf>
    <xf numFmtId="0" fontId="37" fillId="0" borderId="35" xfId="18" applyFont="1" applyBorder="1" applyAlignment="1">
      <alignment horizontal="center"/>
    </xf>
    <xf numFmtId="0" fontId="1" fillId="0" borderId="34" xfId="18" applyFont="1" applyBorder="1" applyAlignment="1">
      <alignment horizontal="right"/>
    </xf>
    <xf numFmtId="3" fontId="1" fillId="0" borderId="43" xfId="18" applyNumberFormat="1" applyFont="1" applyFill="1" applyBorder="1" applyAlignment="1">
      <alignment horizontal="right" vertical="center" wrapText="1"/>
    </xf>
    <xf numFmtId="0" fontId="13" fillId="0" borderId="59" xfId="18" applyFont="1" applyFill="1" applyBorder="1" applyAlignment="1">
      <alignment horizontal="center" vertical="center" wrapText="1"/>
    </xf>
    <xf numFmtId="165" fontId="17" fillId="0" borderId="40" xfId="19" applyNumberFormat="1" applyFont="1" applyFill="1" applyBorder="1" applyAlignment="1">
      <alignment vertical="center" wrapText="1"/>
    </xf>
    <xf numFmtId="3" fontId="1" fillId="0" borderId="40" xfId="18" applyNumberFormat="1" applyFont="1" applyBorder="1" applyAlignment="1">
      <alignment horizontal="right" vertical="center" wrapText="1" indent="2"/>
    </xf>
    <xf numFmtId="3" fontId="1" fillId="0" borderId="59" xfId="18" applyNumberFormat="1" applyFont="1" applyFill="1" applyBorder="1" applyAlignment="1">
      <alignment horizontal="right" vertical="center" wrapText="1"/>
    </xf>
    <xf numFmtId="3" fontId="13" fillId="0" borderId="0" xfId="18" applyNumberFormat="1" applyFont="1" applyFill="1" applyBorder="1" applyAlignment="1">
      <alignment horizontal="right"/>
    </xf>
    <xf numFmtId="3" fontId="1" fillId="0" borderId="29" xfId="18" applyNumberFormat="1" applyFont="1" applyFill="1" applyBorder="1" applyAlignment="1">
      <alignment horizontal="right" vertical="center" wrapText="1"/>
    </xf>
    <xf numFmtId="0" fontId="37" fillId="0" borderId="29" xfId="18" applyFont="1" applyBorder="1" applyAlignment="1">
      <alignment horizontal="center"/>
    </xf>
    <xf numFmtId="0" fontId="1" fillId="0" borderId="40" xfId="18" applyFont="1" applyBorder="1"/>
    <xf numFmtId="3" fontId="23" fillId="3" borderId="56" xfId="18" applyNumberFormat="1" applyFont="1" applyFill="1" applyBorder="1" applyAlignment="1">
      <alignment horizontal="right" indent="2"/>
    </xf>
    <xf numFmtId="3" fontId="23" fillId="0" borderId="0" xfId="18" applyNumberFormat="1" applyFont="1" applyBorder="1" applyAlignment="1">
      <alignment horizontal="right" indent="2"/>
    </xf>
    <xf numFmtId="3" fontId="1" fillId="0" borderId="58" xfId="18" applyNumberFormat="1" applyFont="1" applyBorder="1" applyAlignment="1">
      <alignment horizontal="right" indent="2"/>
    </xf>
    <xf numFmtId="0" fontId="37" fillId="0" borderId="31" xfId="18" applyFont="1" applyBorder="1" applyAlignment="1">
      <alignment horizontal="center"/>
    </xf>
    <xf numFmtId="0" fontId="1" fillId="0" borderId="58" xfId="18" applyFont="1" applyBorder="1" applyAlignment="1">
      <alignment horizontal="right"/>
    </xf>
    <xf numFmtId="3" fontId="23" fillId="0" borderId="0" xfId="18" applyNumberFormat="1" applyFont="1" applyBorder="1" applyAlignment="1">
      <alignment horizontal="left"/>
    </xf>
    <xf numFmtId="165" fontId="17" fillId="0" borderId="71" xfId="19" applyNumberFormat="1" applyFont="1" applyFill="1" applyBorder="1" applyAlignment="1"/>
    <xf numFmtId="3" fontId="1" fillId="0" borderId="34" xfId="18" applyNumberFormat="1" applyFont="1" applyBorder="1" applyAlignment="1">
      <alignment horizontal="right" indent="2"/>
    </xf>
    <xf numFmtId="3" fontId="1" fillId="0" borderId="33" xfId="18" applyNumberFormat="1" applyFont="1" applyFill="1" applyBorder="1" applyAlignment="1">
      <alignment horizontal="right"/>
    </xf>
    <xf numFmtId="3" fontId="1" fillId="3" borderId="61" xfId="18" applyNumberFormat="1" applyFont="1" applyFill="1" applyBorder="1" applyAlignment="1">
      <alignment horizontal="right" indent="2"/>
    </xf>
    <xf numFmtId="3" fontId="1" fillId="3" borderId="77" xfId="18" applyNumberFormat="1" applyFont="1" applyFill="1" applyBorder="1" applyAlignment="1">
      <alignment horizontal="right" indent="2"/>
    </xf>
    <xf numFmtId="3" fontId="1" fillId="3" borderId="35" xfId="18" applyNumberFormat="1" applyFont="1" applyFill="1" applyBorder="1" applyAlignment="1">
      <alignment horizontal="right" indent="2"/>
    </xf>
    <xf numFmtId="165" fontId="17" fillId="0" borderId="67" xfId="19" applyNumberFormat="1" applyFont="1" applyFill="1" applyBorder="1" applyAlignment="1"/>
    <xf numFmtId="0" fontId="1" fillId="0" borderId="30" xfId="18" applyFont="1" applyFill="1" applyBorder="1" applyAlignment="1">
      <alignment horizontal="right"/>
    </xf>
    <xf numFmtId="0" fontId="13" fillId="0" borderId="0" xfId="18" applyFont="1" applyFill="1" applyBorder="1" applyAlignment="1">
      <alignment horizontal="left" vertical="center"/>
    </xf>
    <xf numFmtId="3" fontId="1" fillId="0" borderId="0" xfId="18" applyNumberFormat="1" applyFont="1" applyBorder="1" applyAlignment="1">
      <alignment horizontal="left"/>
    </xf>
    <xf numFmtId="165" fontId="17" fillId="0" borderId="40" xfId="18" applyNumberFormat="1" applyFont="1" applyFill="1" applyBorder="1" applyAlignment="1"/>
    <xf numFmtId="3" fontId="1" fillId="0" borderId="40" xfId="18" applyNumberFormat="1" applyFont="1" applyBorder="1" applyAlignment="1">
      <alignment horizontal="right" indent="2"/>
    </xf>
    <xf numFmtId="3" fontId="1" fillId="0" borderId="29" xfId="18" applyNumberFormat="1" applyFont="1" applyBorder="1" applyAlignment="1">
      <alignment horizontal="right"/>
    </xf>
    <xf numFmtId="0" fontId="13" fillId="0" borderId="59" xfId="18" applyFont="1" applyBorder="1" applyAlignment="1">
      <alignment horizontal="left" vertical="center"/>
    </xf>
    <xf numFmtId="0" fontId="1" fillId="0" borderId="42" xfId="18" applyFont="1" applyFill="1" applyBorder="1" applyAlignment="1">
      <alignment horizontal="right"/>
    </xf>
    <xf numFmtId="3" fontId="1" fillId="0" borderId="56" xfId="18" applyNumberFormat="1" applyFont="1" applyFill="1" applyBorder="1" applyAlignment="1">
      <alignment horizontal="right" indent="2"/>
    </xf>
    <xf numFmtId="165" fontId="17" fillId="0" borderId="58" xfId="18" applyNumberFormat="1" applyFont="1" applyFill="1" applyBorder="1" applyAlignment="1"/>
    <xf numFmtId="3" fontId="1" fillId="0" borderId="58" xfId="18" applyNumberFormat="1" applyFont="1" applyFill="1" applyBorder="1" applyAlignment="1">
      <alignment horizontal="right" indent="2"/>
    </xf>
    <xf numFmtId="0" fontId="1" fillId="0" borderId="49" xfId="18" applyFont="1" applyFill="1" applyBorder="1" applyAlignment="1">
      <alignment horizontal="right"/>
    </xf>
    <xf numFmtId="0" fontId="1" fillId="4" borderId="54" xfId="18" applyFont="1" applyFill="1" applyBorder="1" applyAlignment="1">
      <alignment horizontal="right"/>
    </xf>
    <xf numFmtId="0" fontId="15" fillId="4" borderId="53" xfId="18" applyFont="1" applyFill="1" applyBorder="1" applyAlignment="1">
      <alignment horizontal="center" vertical="center" textRotation="90" wrapText="1"/>
    </xf>
    <xf numFmtId="3" fontId="1" fillId="0" borderId="48" xfId="18" applyNumberFormat="1" applyFont="1" applyFill="1" applyBorder="1" applyAlignment="1">
      <alignment horizontal="right" indent="2"/>
    </xf>
    <xf numFmtId="165" fontId="17" fillId="0" borderId="34" xfId="18" applyNumberFormat="1" applyFont="1" applyFill="1" applyBorder="1" applyAlignment="1"/>
    <xf numFmtId="3" fontId="1" fillId="0" borderId="34" xfId="18" applyNumberFormat="1" applyFont="1" applyFill="1" applyBorder="1" applyAlignment="1">
      <alignment horizontal="right" indent="2"/>
    </xf>
    <xf numFmtId="0" fontId="1" fillId="0" borderId="44" xfId="18" applyFont="1" applyFill="1" applyBorder="1" applyAlignment="1">
      <alignment horizontal="right"/>
    </xf>
    <xf numFmtId="0" fontId="1" fillId="4" borderId="45" xfId="18" applyFont="1" applyFill="1" applyBorder="1" applyAlignment="1">
      <alignment horizontal="right"/>
    </xf>
    <xf numFmtId="0" fontId="15" fillId="4" borderId="44" xfId="18" applyFont="1" applyFill="1" applyBorder="1" applyAlignment="1">
      <alignment horizontal="center" vertical="center" textRotation="90" wrapText="1"/>
    </xf>
    <xf numFmtId="0" fontId="13" fillId="0" borderId="42" xfId="18" applyFont="1" applyFill="1" applyBorder="1" applyAlignment="1">
      <alignment horizontal="left" vertical="center"/>
    </xf>
    <xf numFmtId="0" fontId="1" fillId="0" borderId="39" xfId="18" applyFont="1" applyFill="1" applyBorder="1" applyAlignment="1">
      <alignment vertical="center" wrapText="1"/>
    </xf>
    <xf numFmtId="0" fontId="1" fillId="4" borderId="36" xfId="18" applyFont="1" applyFill="1" applyBorder="1" applyAlignment="1">
      <alignment vertical="center" wrapText="1"/>
    </xf>
    <xf numFmtId="165" fontId="12" fillId="0" borderId="40" xfId="18" applyNumberFormat="1" applyFont="1" applyFill="1" applyBorder="1" applyAlignment="1">
      <alignment vertical="center" wrapText="1"/>
    </xf>
    <xf numFmtId="0" fontId="1" fillId="4" borderId="39" xfId="18" applyFont="1" applyFill="1" applyBorder="1" applyAlignment="1">
      <alignment vertical="center" wrapText="1"/>
    </xf>
    <xf numFmtId="0" fontId="13" fillId="0" borderId="41" xfId="18" applyFont="1" applyFill="1" applyBorder="1" applyAlignment="1">
      <alignment horizontal="left" vertical="center"/>
    </xf>
    <xf numFmtId="0" fontId="1" fillId="4" borderId="38" xfId="18" applyFont="1" applyFill="1" applyBorder="1" applyAlignment="1">
      <alignment vertical="center" wrapText="1"/>
    </xf>
    <xf numFmtId="0" fontId="37" fillId="0" borderId="29" xfId="18" applyFont="1" applyFill="1" applyBorder="1" applyAlignment="1">
      <alignment horizontal="center" vertical="center"/>
    </xf>
    <xf numFmtId="0" fontId="1" fillId="4" borderId="37" xfId="18" applyFont="1" applyFill="1" applyBorder="1"/>
    <xf numFmtId="0" fontId="13" fillId="4" borderId="36" xfId="18" applyFont="1" applyFill="1" applyBorder="1" applyAlignment="1">
      <alignment horizontal="left" vertical="center"/>
    </xf>
    <xf numFmtId="0" fontId="1" fillId="0" borderId="34" xfId="18" applyFont="1" applyFill="1" applyBorder="1" applyAlignment="1">
      <alignment horizontal="right" vertical="center"/>
    </xf>
    <xf numFmtId="0" fontId="16" fillId="3" borderId="29" xfId="18" applyFont="1" applyFill="1" applyBorder="1" applyAlignment="1">
      <alignment horizontal="center" vertical="center" wrapText="1"/>
    </xf>
    <xf numFmtId="165" fontId="12" fillId="0" borderId="29" xfId="18" applyNumberFormat="1" applyFont="1" applyFill="1" applyBorder="1" applyAlignment="1">
      <alignment horizontal="center" vertical="center" wrapText="1"/>
    </xf>
    <xf numFmtId="0" fontId="16" fillId="0" borderId="34" xfId="18" applyFont="1" applyFill="1" applyBorder="1" applyAlignment="1">
      <alignment horizontal="center" vertical="center" wrapText="1"/>
    </xf>
    <xf numFmtId="0" fontId="16" fillId="0" borderId="28" xfId="18" applyFont="1" applyFill="1" applyBorder="1" applyAlignment="1">
      <alignment horizontal="center" vertical="center" wrapText="1"/>
    </xf>
    <xf numFmtId="0" fontId="37" fillId="0" borderId="28" xfId="18" applyFont="1" applyBorder="1" applyAlignment="1">
      <alignment horizontal="center" vertical="center"/>
    </xf>
    <xf numFmtId="0" fontId="16" fillId="0" borderId="0" xfId="18" applyFont="1" applyFill="1" applyBorder="1"/>
    <xf numFmtId="165" fontId="12" fillId="0" borderId="0" xfId="18" applyNumberFormat="1" applyFont="1" applyFill="1"/>
    <xf numFmtId="0" fontId="16" fillId="0" borderId="28" xfId="18" applyFont="1" applyFill="1" applyBorder="1" applyAlignment="1">
      <alignment horizontal="center"/>
    </xf>
    <xf numFmtId="0" fontId="16" fillId="0" borderId="28" xfId="18" applyFont="1" applyBorder="1" applyAlignment="1">
      <alignment horizontal="center"/>
    </xf>
    <xf numFmtId="0" fontId="1" fillId="0" borderId="28" xfId="18" applyFont="1" applyBorder="1" applyAlignment="1">
      <alignment horizontal="center"/>
    </xf>
    <xf numFmtId="0" fontId="1" fillId="0" borderId="28" xfId="18" applyFont="1" applyBorder="1" applyAlignment="1">
      <alignment horizontal="center" vertical="center"/>
    </xf>
    <xf numFmtId="0" fontId="1" fillId="3" borderId="33" xfId="18" applyFont="1" applyFill="1" applyBorder="1" applyAlignment="1">
      <alignment horizontal="center"/>
    </xf>
    <xf numFmtId="0" fontId="1" fillId="3" borderId="28" xfId="18" quotePrefix="1" applyFont="1" applyFill="1" applyBorder="1" applyAlignment="1">
      <alignment horizontal="center" vertical="center"/>
    </xf>
    <xf numFmtId="0" fontId="1" fillId="3" borderId="32" xfId="18" applyFont="1" applyFill="1" applyBorder="1" applyAlignment="1">
      <alignment horizontal="center"/>
    </xf>
    <xf numFmtId="0" fontId="1" fillId="0" borderId="0" xfId="18" applyFont="1" applyAlignment="1">
      <alignment horizontal="center" vertical="center"/>
    </xf>
    <xf numFmtId="0" fontId="13" fillId="0" borderId="0" xfId="18" applyFont="1" applyFill="1" applyBorder="1" applyAlignment="1">
      <alignment horizontal="right" vertical="center"/>
    </xf>
    <xf numFmtId="0" fontId="13" fillId="3" borderId="28" xfId="18" applyFont="1" applyFill="1" applyBorder="1" applyAlignment="1">
      <alignment horizontal="center" vertical="center"/>
    </xf>
    <xf numFmtId="0" fontId="1" fillId="3" borderId="30" xfId="18" applyFont="1" applyFill="1" applyBorder="1" applyAlignment="1">
      <alignment horizontal="center"/>
    </xf>
    <xf numFmtId="0" fontId="13" fillId="0" borderId="0" xfId="18" applyFont="1" applyAlignment="1">
      <alignment horizontal="center" vertical="center" wrapText="1"/>
    </xf>
    <xf numFmtId="0" fontId="13" fillId="0" borderId="0" xfId="18" applyFont="1" applyFill="1" applyBorder="1" applyAlignment="1">
      <alignment horizontal="center" vertical="center" wrapText="1"/>
    </xf>
    <xf numFmtId="0" fontId="13" fillId="0" borderId="28" xfId="18" applyFont="1" applyBorder="1" applyAlignment="1">
      <alignment horizontal="center" vertical="center" wrapText="1"/>
    </xf>
    <xf numFmtId="0" fontId="37" fillId="0" borderId="0" xfId="18" applyFont="1" applyAlignment="1">
      <alignment horizontal="center" vertical="center" wrapText="1"/>
    </xf>
    <xf numFmtId="0" fontId="9" fillId="3" borderId="0" xfId="18" applyFont="1" applyFill="1" applyAlignment="1">
      <alignment horizontal="center"/>
    </xf>
    <xf numFmtId="0" fontId="25" fillId="0" borderId="0" xfId="18" applyFont="1" applyFill="1" applyBorder="1" applyAlignment="1">
      <alignment horizontal="center"/>
    </xf>
    <xf numFmtId="165" fontId="8" fillId="16" borderId="15" xfId="17" applyNumberFormat="1" applyFont="1" applyFill="1" applyBorder="1" applyAlignment="1">
      <alignment horizontal="right" vertical="center"/>
    </xf>
    <xf numFmtId="0" fontId="7" fillId="10" borderId="3" xfId="0" applyFont="1" applyFill="1" applyBorder="1"/>
    <xf numFmtId="0" fontId="7" fillId="10" borderId="0" xfId="0" applyFont="1" applyFill="1" applyBorder="1"/>
    <xf numFmtId="0" fontId="32" fillId="10" borderId="0" xfId="0" applyFont="1" applyFill="1" applyBorder="1" applyAlignment="1">
      <alignment horizontal="right" vertical="center"/>
    </xf>
    <xf numFmtId="0" fontId="32" fillId="10" borderId="23" xfId="0" applyFont="1" applyFill="1" applyBorder="1" applyAlignment="1">
      <alignment horizontal="right" vertical="center"/>
    </xf>
    <xf numFmtId="0" fontId="27" fillId="18" borderId="80" xfId="0" applyFont="1" applyFill="1" applyBorder="1" applyAlignment="1">
      <alignment horizontal="right" vertical="center" wrapText="1" indent="1"/>
    </xf>
    <xf numFmtId="165" fontId="25" fillId="18" borderId="80" xfId="0" applyNumberFormat="1" applyFont="1" applyFill="1" applyBorder="1" applyAlignment="1">
      <alignment vertical="center"/>
    </xf>
    <xf numFmtId="165" fontId="25" fillId="2" borderId="74" xfId="17" applyNumberFormat="1" applyFont="1" applyFill="1" applyBorder="1" applyAlignment="1">
      <alignment vertical="center"/>
    </xf>
    <xf numFmtId="165" fontId="25" fillId="2" borderId="80" xfId="17" applyNumberFormat="1" applyFont="1" applyFill="1" applyBorder="1" applyAlignment="1">
      <alignment vertical="center"/>
    </xf>
    <xf numFmtId="165" fontId="25" fillId="2" borderId="75" xfId="17" applyNumberFormat="1" applyFont="1" applyFill="1" applyBorder="1" applyAlignment="1">
      <alignment vertical="center"/>
    </xf>
    <xf numFmtId="0" fontId="8" fillId="20" borderId="2" xfId="0" applyFont="1" applyFill="1" applyBorder="1" applyAlignment="1" applyProtection="1">
      <alignment horizontal="left" vertical="center" wrapText="1"/>
      <protection locked="0"/>
    </xf>
    <xf numFmtId="0" fontId="8" fillId="20" borderId="21" xfId="0" applyFont="1" applyFill="1" applyBorder="1" applyAlignment="1" applyProtection="1">
      <alignment horizontal="left" vertical="center" wrapText="1"/>
      <protection locked="0"/>
    </xf>
    <xf numFmtId="0" fontId="8" fillId="20" borderId="22" xfId="0" applyFont="1" applyFill="1" applyBorder="1" applyAlignment="1" applyProtection="1">
      <alignment horizontal="left" vertical="center" wrapText="1"/>
      <protection locked="0"/>
    </xf>
    <xf numFmtId="43" fontId="8" fillId="21" borderId="13" xfId="7" applyFont="1" applyFill="1" applyBorder="1" applyAlignment="1" applyProtection="1">
      <alignment horizontal="right" vertical="center"/>
      <protection locked="0"/>
    </xf>
    <xf numFmtId="43" fontId="8" fillId="21" borderId="7" xfId="7" applyFont="1" applyFill="1" applyBorder="1" applyAlignment="1" applyProtection="1">
      <alignment horizontal="right" vertical="center"/>
      <protection locked="0"/>
    </xf>
    <xf numFmtId="43" fontId="8" fillId="21" borderId="14" xfId="7" applyFont="1" applyFill="1" applyBorder="1" applyAlignment="1" applyProtection="1">
      <alignment horizontal="right" vertical="center"/>
      <protection locked="0"/>
    </xf>
    <xf numFmtId="43" fontId="8" fillId="22" borderId="15" xfId="7" applyFont="1" applyFill="1" applyBorder="1" applyAlignment="1" applyProtection="1">
      <alignment horizontal="right" vertical="center"/>
      <protection locked="0"/>
    </xf>
    <xf numFmtId="43" fontId="8" fillId="22" borderId="16" xfId="7" applyFont="1" applyFill="1" applyBorder="1" applyAlignment="1" applyProtection="1">
      <alignment horizontal="right" vertical="center"/>
      <protection locked="0"/>
    </xf>
    <xf numFmtId="43" fontId="8" fillId="22" borderId="6" xfId="7" applyFont="1" applyFill="1" applyBorder="1" applyAlignment="1" applyProtection="1">
      <alignment horizontal="right" vertical="center"/>
      <protection locked="0"/>
    </xf>
    <xf numFmtId="43" fontId="8" fillId="22" borderId="13" xfId="7" applyFont="1" applyFill="1" applyBorder="1" applyAlignment="1" applyProtection="1">
      <alignment horizontal="right" vertical="center"/>
      <protection locked="0"/>
    </xf>
    <xf numFmtId="43" fontId="8" fillId="22" borderId="7" xfId="7" applyFont="1" applyFill="1" applyBorder="1" applyAlignment="1" applyProtection="1">
      <alignment horizontal="right" vertical="center"/>
      <protection locked="0"/>
    </xf>
    <xf numFmtId="43" fontId="8" fillId="22" borderId="14" xfId="7" applyFont="1" applyFill="1" applyBorder="1" applyAlignment="1" applyProtection="1">
      <alignment horizontal="right" vertical="center"/>
      <protection locked="0"/>
    </xf>
    <xf numFmtId="43" fontId="8" fillId="21" borderId="15" xfId="7" applyFont="1" applyFill="1" applyBorder="1" applyAlignment="1" applyProtection="1">
      <alignment horizontal="right" vertical="center"/>
      <protection locked="0"/>
    </xf>
    <xf numFmtId="43" fontId="8" fillId="21" borderId="16" xfId="7" applyFont="1" applyFill="1" applyBorder="1" applyAlignment="1" applyProtection="1">
      <alignment horizontal="right" vertical="center"/>
      <protection locked="0"/>
    </xf>
    <xf numFmtId="43" fontId="8" fillId="21" borderId="6" xfId="7" applyFont="1" applyFill="1" applyBorder="1" applyAlignment="1" applyProtection="1">
      <alignment horizontal="right" vertical="center"/>
      <protection locked="0"/>
    </xf>
    <xf numFmtId="0" fontId="0" fillId="0" borderId="84" xfId="0" applyBorder="1"/>
    <xf numFmtId="0" fontId="0" fillId="23" borderId="85" xfId="0" applyFill="1" applyBorder="1"/>
    <xf numFmtId="0" fontId="0" fillId="23" borderId="86" xfId="0" applyFill="1" applyBorder="1"/>
    <xf numFmtId="0" fontId="0" fillId="23" borderId="87" xfId="0" applyFill="1" applyBorder="1"/>
    <xf numFmtId="0" fontId="13" fillId="0" borderId="84" xfId="0" applyFont="1" applyBorder="1"/>
    <xf numFmtId="0" fontId="0" fillId="0" borderId="74" xfId="0" applyBorder="1"/>
    <xf numFmtId="0" fontId="13" fillId="0" borderId="89" xfId="0" applyFont="1" applyFill="1" applyBorder="1"/>
    <xf numFmtId="0" fontId="13" fillId="25" borderId="88" xfId="0" applyFont="1" applyFill="1" applyBorder="1"/>
    <xf numFmtId="0" fontId="13" fillId="25" borderId="86" xfId="0" applyFont="1" applyFill="1" applyBorder="1"/>
    <xf numFmtId="0" fontId="13" fillId="25" borderId="87" xfId="0" applyFont="1" applyFill="1" applyBorder="1"/>
    <xf numFmtId="1" fontId="13" fillId="26" borderId="88" xfId="0" applyNumberFormat="1" applyFont="1" applyFill="1" applyBorder="1"/>
    <xf numFmtId="167" fontId="13" fillId="26" borderId="86" xfId="0" applyNumberFormat="1" applyFont="1" applyFill="1" applyBorder="1"/>
    <xf numFmtId="0" fontId="13" fillId="26" borderId="90" xfId="0" applyFont="1" applyFill="1" applyBorder="1"/>
    <xf numFmtId="0" fontId="13" fillId="0" borderId="72" xfId="0" applyFont="1" applyFill="1" applyBorder="1"/>
    <xf numFmtId="0" fontId="13" fillId="27" borderId="75" xfId="0" applyFont="1" applyFill="1" applyBorder="1" applyAlignment="1">
      <alignment horizontal="right"/>
    </xf>
    <xf numFmtId="0" fontId="13" fillId="27" borderId="84" xfId="0" applyFont="1" applyFill="1" applyBorder="1" applyAlignment="1">
      <alignment horizontal="right"/>
    </xf>
    <xf numFmtId="0" fontId="13" fillId="27" borderId="91" xfId="0" applyFont="1" applyFill="1" applyBorder="1" applyAlignment="1">
      <alignment horizontal="right"/>
    </xf>
    <xf numFmtId="0" fontId="13" fillId="28" borderId="74" xfId="0" applyFont="1" applyFill="1" applyBorder="1" applyAlignment="1">
      <alignment wrapText="1"/>
    </xf>
    <xf numFmtId="167" fontId="0" fillId="24" borderId="92" xfId="0" applyNumberFormat="1" applyFill="1" applyBorder="1"/>
    <xf numFmtId="167" fontId="0" fillId="24" borderId="84" xfId="0" applyNumberFormat="1" applyFill="1" applyBorder="1"/>
    <xf numFmtId="165" fontId="0" fillId="24" borderId="91" xfId="0" applyNumberFormat="1" applyFill="1" applyBorder="1"/>
    <xf numFmtId="165" fontId="0" fillId="0" borderId="93" xfId="0" applyNumberFormat="1" applyFill="1" applyBorder="1"/>
    <xf numFmtId="167" fontId="0" fillId="25" borderId="92" xfId="0" applyNumberFormat="1" applyFill="1" applyBorder="1"/>
    <xf numFmtId="167" fontId="0" fillId="25" borderId="84" xfId="0" applyNumberFormat="1" applyFill="1" applyBorder="1"/>
    <xf numFmtId="165" fontId="0" fillId="25" borderId="91" xfId="0" applyNumberFormat="1" applyFill="1" applyBorder="1"/>
    <xf numFmtId="167" fontId="0" fillId="26" borderId="92" xfId="0" applyNumberFormat="1" applyFill="1" applyBorder="1"/>
    <xf numFmtId="167" fontId="0" fillId="26" borderId="84" xfId="0" applyNumberFormat="1" applyFill="1" applyBorder="1"/>
    <xf numFmtId="165" fontId="0" fillId="26" borderId="74" xfId="0" applyNumberFormat="1" applyFill="1" applyBorder="1"/>
    <xf numFmtId="165" fontId="0" fillId="0" borderId="84" xfId="0" applyNumberFormat="1" applyFill="1" applyBorder="1"/>
    <xf numFmtId="167" fontId="0" fillId="27" borderId="75" xfId="0" applyNumberFormat="1" applyFill="1" applyBorder="1"/>
    <xf numFmtId="167" fontId="0" fillId="27" borderId="84" xfId="0" applyNumberFormat="1" applyFill="1" applyBorder="1"/>
    <xf numFmtId="167" fontId="0" fillId="27" borderId="91" xfId="0" applyNumberFormat="1" applyFill="1" applyBorder="1"/>
    <xf numFmtId="0" fontId="13" fillId="30" borderId="74" xfId="0" applyFont="1" applyFill="1" applyBorder="1" applyAlignment="1">
      <alignment wrapText="1"/>
    </xf>
    <xf numFmtId="165" fontId="0" fillId="0" borderId="94" xfId="0" applyNumberFormat="1" applyFill="1" applyBorder="1"/>
    <xf numFmtId="0" fontId="0" fillId="23" borderId="0" xfId="0" applyFill="1" applyBorder="1" applyAlignment="1">
      <alignment horizontal="center" wrapText="1"/>
    </xf>
    <xf numFmtId="0" fontId="0" fillId="23" borderId="5" xfId="0" applyFill="1" applyBorder="1"/>
    <xf numFmtId="0" fontId="0" fillId="23" borderId="72" xfId="0" applyFill="1" applyBorder="1"/>
    <xf numFmtId="0" fontId="0" fillId="23" borderId="96" xfId="0" applyFill="1" applyBorder="1"/>
    <xf numFmtId="0" fontId="13" fillId="24" borderId="98" xfId="0" applyFont="1" applyFill="1" applyBorder="1"/>
    <xf numFmtId="0" fontId="13" fillId="24" borderId="72" xfId="0" applyFont="1" applyFill="1" applyBorder="1"/>
    <xf numFmtId="0" fontId="13" fillId="24" borderId="96" xfId="0" applyFont="1" applyFill="1" applyBorder="1"/>
    <xf numFmtId="0" fontId="0" fillId="0" borderId="84" xfId="0" applyFill="1" applyBorder="1" applyAlignment="1">
      <alignment horizontal="center"/>
    </xf>
    <xf numFmtId="0" fontId="30" fillId="8" borderId="10" xfId="0" applyFont="1" applyFill="1" applyBorder="1" applyAlignment="1">
      <alignment vertical="center" wrapText="1"/>
    </xf>
    <xf numFmtId="0" fontId="50" fillId="31" borderId="17" xfId="0" applyFont="1" applyFill="1" applyBorder="1" applyAlignment="1">
      <alignment vertical="center"/>
    </xf>
    <xf numFmtId="0" fontId="8" fillId="2" borderId="19" xfId="0" applyFont="1" applyFill="1" applyBorder="1" applyAlignment="1">
      <alignment vertical="center" wrapText="1"/>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12" xfId="0" applyFont="1" applyFill="1" applyBorder="1" applyAlignment="1">
      <alignment horizontal="center" vertical="center"/>
    </xf>
    <xf numFmtId="0" fontId="9" fillId="2" borderId="1" xfId="0" applyFont="1" applyFill="1" applyBorder="1" applyAlignment="1">
      <alignment vertical="center" wrapText="1"/>
    </xf>
    <xf numFmtId="0" fontId="8" fillId="13" borderId="13" xfId="0" applyFont="1" applyFill="1" applyBorder="1" applyAlignment="1">
      <alignment vertical="center" wrapText="1"/>
    </xf>
    <xf numFmtId="0" fontId="8" fillId="14" borderId="15" xfId="0" applyFont="1" applyFill="1" applyBorder="1" applyAlignment="1">
      <alignment vertical="center" wrapText="1"/>
    </xf>
    <xf numFmtId="0" fontId="50" fillId="31" borderId="1" xfId="0" applyFont="1" applyFill="1" applyBorder="1" applyAlignment="1">
      <alignment vertical="center"/>
    </xf>
    <xf numFmtId="0" fontId="8" fillId="14" borderId="13" xfId="0" applyFont="1" applyFill="1" applyBorder="1" applyAlignment="1">
      <alignment vertical="center"/>
    </xf>
    <xf numFmtId="0" fontId="8" fillId="13" borderId="15" xfId="0" applyFont="1" applyFill="1" applyBorder="1" applyAlignment="1">
      <alignment vertical="center"/>
    </xf>
    <xf numFmtId="0" fontId="8" fillId="2" borderId="1" xfId="0" applyFont="1" applyFill="1" applyBorder="1" applyAlignment="1">
      <alignment vertical="center"/>
    </xf>
    <xf numFmtId="0" fontId="8" fillId="2" borderId="13" xfId="0" applyFont="1" applyFill="1" applyBorder="1" applyAlignment="1">
      <alignment vertical="center" wrapText="1"/>
    </xf>
    <xf numFmtId="0" fontId="8" fillId="2" borderId="15" xfId="0" applyFont="1" applyFill="1" applyBorder="1" applyAlignment="1">
      <alignment vertical="center"/>
    </xf>
    <xf numFmtId="164" fontId="8" fillId="22" borderId="28" xfId="20" applyFont="1" applyFill="1" applyBorder="1" applyAlignment="1" applyProtection="1">
      <alignment horizontal="center" vertical="center"/>
      <protection locked="0"/>
    </xf>
    <xf numFmtId="164" fontId="9" fillId="2" borderId="28" xfId="20" applyNumberFormat="1" applyFont="1" applyFill="1" applyBorder="1" applyAlignment="1">
      <alignment horizontal="center" vertical="center"/>
    </xf>
    <xf numFmtId="164" fontId="8" fillId="13" borderId="28" xfId="20" applyNumberFormat="1" applyFont="1" applyFill="1" applyBorder="1" applyAlignment="1">
      <alignment horizontal="center" vertical="center"/>
    </xf>
    <xf numFmtId="164" fontId="8" fillId="21" borderId="28" xfId="20" applyNumberFormat="1" applyFont="1" applyFill="1" applyBorder="1" applyAlignment="1" applyProtection="1">
      <alignment horizontal="center" vertical="center"/>
      <protection locked="0"/>
    </xf>
    <xf numFmtId="164" fontId="8" fillId="14" borderId="28" xfId="20" applyNumberFormat="1" applyFont="1" applyFill="1" applyBorder="1" applyAlignment="1">
      <alignment horizontal="center" vertical="center"/>
    </xf>
    <xf numFmtId="164" fontId="8" fillId="22" borderId="28" xfId="20" applyNumberFormat="1" applyFont="1" applyFill="1" applyBorder="1" applyAlignment="1" applyProtection="1">
      <alignment horizontal="center" vertical="center"/>
      <protection locked="0"/>
    </xf>
    <xf numFmtId="164" fontId="51" fillId="2" borderId="28" xfId="20" applyNumberFormat="1" applyFont="1" applyFill="1" applyBorder="1" applyAlignment="1">
      <alignment horizontal="center" vertical="center"/>
    </xf>
    <xf numFmtId="164" fontId="51" fillId="16" borderId="28" xfId="20" applyNumberFormat="1" applyFont="1" applyFill="1" applyBorder="1" applyAlignment="1">
      <alignment horizontal="center" vertical="center"/>
    </xf>
    <xf numFmtId="164" fontId="35" fillId="13" borderId="28" xfId="20" applyNumberFormat="1" applyFont="1" applyFill="1" applyBorder="1" applyAlignment="1">
      <alignment horizontal="center" vertical="center"/>
    </xf>
    <xf numFmtId="164" fontId="35" fillId="14" borderId="28" xfId="20" applyNumberFormat="1" applyFont="1" applyFill="1" applyBorder="1" applyAlignment="1">
      <alignment horizontal="center" vertical="center"/>
    </xf>
    <xf numFmtId="0" fontId="53" fillId="0" borderId="101" xfId="0" applyFont="1" applyBorder="1" applyAlignment="1">
      <alignment vertical="center"/>
    </xf>
    <xf numFmtId="0" fontId="53" fillId="0" borderId="101" xfId="0" applyFont="1" applyBorder="1" applyAlignment="1">
      <alignment horizontal="center" vertical="center"/>
    </xf>
    <xf numFmtId="0" fontId="53" fillId="0" borderId="101" xfId="0" applyFont="1" applyBorder="1" applyAlignment="1">
      <alignment horizontal="right" vertical="center"/>
    </xf>
    <xf numFmtId="0" fontId="53" fillId="33" borderId="101" xfId="0" applyFont="1" applyFill="1" applyBorder="1" applyAlignment="1">
      <alignment horizontal="right" vertical="center"/>
    </xf>
    <xf numFmtId="0" fontId="52" fillId="32" borderId="102" xfId="0" applyFont="1" applyFill="1" applyBorder="1" applyAlignment="1">
      <alignment horizontal="center" vertical="center" wrapText="1"/>
    </xf>
    <xf numFmtId="0" fontId="52" fillId="32" borderId="103" xfId="0" applyFont="1" applyFill="1" applyBorder="1" applyAlignment="1">
      <alignment horizontal="center" vertical="center" wrapText="1"/>
    </xf>
    <xf numFmtId="0" fontId="52" fillId="32" borderId="103" xfId="0" applyFont="1" applyFill="1" applyBorder="1" applyAlignment="1">
      <alignment horizontal="right" vertical="center" wrapText="1"/>
    </xf>
    <xf numFmtId="0" fontId="52" fillId="32" borderId="104" xfId="0" applyFont="1" applyFill="1" applyBorder="1" applyAlignment="1">
      <alignment horizontal="right" vertical="center" wrapText="1"/>
    </xf>
    <xf numFmtId="0" fontId="53" fillId="0" borderId="105" xfId="0" applyFont="1" applyBorder="1" applyAlignment="1">
      <alignment vertical="center"/>
    </xf>
    <xf numFmtId="0" fontId="53" fillId="33" borderId="106" xfId="0" applyFont="1" applyFill="1" applyBorder="1" applyAlignment="1">
      <alignment horizontal="right" vertical="center"/>
    </xf>
    <xf numFmtId="0" fontId="53" fillId="0" borderId="107" xfId="0" applyFont="1" applyBorder="1" applyAlignment="1">
      <alignment vertical="center"/>
    </xf>
    <xf numFmtId="0" fontId="53" fillId="0" borderId="108" xfId="0" applyFont="1" applyBorder="1" applyAlignment="1">
      <alignment vertical="center"/>
    </xf>
    <xf numFmtId="0" fontId="53" fillId="0" borderId="108" xfId="0" applyFont="1" applyBorder="1" applyAlignment="1">
      <alignment horizontal="center" vertical="center"/>
    </xf>
    <xf numFmtId="0" fontId="53" fillId="0" borderId="108" xfId="0" applyFont="1" applyBorder="1" applyAlignment="1">
      <alignment horizontal="right" vertical="center"/>
    </xf>
    <xf numFmtId="0" fontId="53" fillId="33" borderId="108" xfId="0" applyFont="1" applyFill="1" applyBorder="1" applyAlignment="1">
      <alignment horizontal="right" vertical="center"/>
    </xf>
    <xf numFmtId="4" fontId="53" fillId="33" borderId="109" xfId="0" applyNumberFormat="1" applyFont="1" applyFill="1" applyBorder="1" applyAlignment="1">
      <alignment horizontal="right" vertical="center"/>
    </xf>
    <xf numFmtId="165" fontId="9" fillId="2" borderId="28" xfId="20" applyNumberFormat="1" applyFont="1" applyFill="1" applyBorder="1" applyAlignment="1">
      <alignment horizontal="center" vertical="center"/>
    </xf>
    <xf numFmtId="165" fontId="51" fillId="2" borderId="28" xfId="20" applyNumberFormat="1" applyFont="1" applyFill="1" applyBorder="1" applyAlignment="1">
      <alignment horizontal="center" vertical="center"/>
    </xf>
    <xf numFmtId="165" fontId="9" fillId="16" borderId="28" xfId="20" applyNumberFormat="1" applyFont="1" applyFill="1" applyBorder="1" applyAlignment="1">
      <alignment horizontal="center" vertical="center"/>
    </xf>
    <xf numFmtId="0" fontId="29" fillId="20" borderId="1" xfId="0" applyFont="1" applyFill="1" applyBorder="1" applyAlignment="1" applyProtection="1">
      <alignment horizontal="center" vertical="center" wrapText="1"/>
      <protection locked="0"/>
    </xf>
    <xf numFmtId="0" fontId="29" fillId="20" borderId="76" xfId="0" applyFont="1" applyFill="1" applyBorder="1" applyAlignment="1" applyProtection="1">
      <alignment horizontal="center" vertical="center" wrapText="1"/>
      <protection locked="0"/>
    </xf>
    <xf numFmtId="0" fontId="29" fillId="20" borderId="2" xfId="0" applyFont="1" applyFill="1" applyBorder="1" applyAlignment="1" applyProtection="1">
      <alignment horizontal="center" vertical="center" wrapText="1"/>
      <protection locked="0"/>
    </xf>
    <xf numFmtId="0" fontId="29" fillId="12" borderId="74" xfId="0" applyFont="1" applyFill="1" applyBorder="1" applyAlignment="1">
      <alignment horizontal="left" vertical="center" wrapText="1"/>
    </xf>
    <xf numFmtId="0" fontId="29" fillId="12" borderId="75" xfId="0" applyFont="1" applyFill="1" applyBorder="1" applyAlignment="1">
      <alignment horizontal="left" vertical="center" wrapText="1"/>
    </xf>
    <xf numFmtId="0" fontId="29" fillId="22" borderId="4" xfId="0" applyFont="1" applyFill="1" applyBorder="1" applyAlignment="1" applyProtection="1">
      <alignment horizontal="center" vertical="center" wrapText="1"/>
      <protection locked="0"/>
    </xf>
    <xf numFmtId="0" fontId="29" fillId="22" borderId="24" xfId="0" applyFont="1" applyFill="1" applyBorder="1" applyAlignment="1" applyProtection="1">
      <alignment horizontal="center" vertical="center" wrapText="1"/>
      <protection locked="0"/>
    </xf>
    <xf numFmtId="0" fontId="29" fillId="22" borderId="5" xfId="0" applyFont="1" applyFill="1" applyBorder="1" applyAlignment="1" applyProtection="1">
      <alignment horizontal="center" vertical="center" wrapText="1"/>
      <protection locked="0"/>
    </xf>
    <xf numFmtId="0" fontId="29" fillId="14" borderId="74" xfId="0" applyFont="1" applyFill="1" applyBorder="1" applyAlignment="1">
      <alignment horizontal="left" vertical="center" wrapText="1"/>
    </xf>
    <xf numFmtId="0" fontId="29" fillId="14" borderId="75" xfId="0" applyFont="1" applyFill="1" applyBorder="1" applyAlignment="1">
      <alignment horizontal="left" vertical="center" wrapText="1"/>
    </xf>
    <xf numFmtId="0" fontId="29" fillId="14" borderId="4" xfId="0" applyFont="1" applyFill="1" applyBorder="1" applyAlignment="1">
      <alignment horizontal="left" vertical="center" wrapText="1"/>
    </xf>
    <xf numFmtId="0" fontId="29" fillId="14" borderId="24" xfId="0" applyFont="1" applyFill="1" applyBorder="1" applyAlignment="1">
      <alignment horizontal="left" vertical="center" wrapText="1"/>
    </xf>
    <xf numFmtId="0" fontId="31" fillId="19" borderId="3" xfId="0" applyFont="1" applyFill="1" applyBorder="1" applyAlignment="1">
      <alignment horizontal="left" vertical="center" wrapText="1"/>
    </xf>
    <xf numFmtId="0" fontId="31" fillId="19" borderId="23" xfId="0" applyFont="1" applyFill="1" applyBorder="1" applyAlignment="1">
      <alignment horizontal="left" vertical="center" wrapText="1"/>
    </xf>
    <xf numFmtId="0" fontId="31" fillId="7" borderId="4" xfId="0" applyFont="1" applyFill="1" applyBorder="1" applyAlignment="1">
      <alignment horizontal="left" vertical="center"/>
    </xf>
    <xf numFmtId="0" fontId="31" fillId="7" borderId="5" xfId="0" applyFont="1" applyFill="1" applyBorder="1" applyAlignment="1">
      <alignment horizontal="left" vertical="center"/>
    </xf>
    <xf numFmtId="0" fontId="32" fillId="9" borderId="82" xfId="0" applyFont="1" applyFill="1" applyBorder="1" applyAlignment="1">
      <alignment horizontal="center" vertical="center" wrapText="1"/>
    </xf>
    <xf numFmtId="0" fontId="32" fillId="9" borderId="81" xfId="0" applyFont="1" applyFill="1" applyBorder="1" applyAlignment="1">
      <alignment horizontal="center" vertical="center" wrapText="1"/>
    </xf>
    <xf numFmtId="0" fontId="32" fillId="9" borderId="83" xfId="0" applyFont="1" applyFill="1" applyBorder="1" applyAlignment="1">
      <alignment horizontal="center" vertical="center" wrapText="1"/>
    </xf>
    <xf numFmtId="0" fontId="33" fillId="9" borderId="17" xfId="0" applyFont="1" applyFill="1" applyBorder="1" applyAlignment="1">
      <alignment horizontal="center" vertical="center"/>
    </xf>
    <xf numFmtId="0" fontId="33" fillId="9" borderId="72" xfId="0" applyFont="1" applyFill="1" applyBorder="1" applyAlignment="1">
      <alignment horizontal="center" vertical="center"/>
    </xf>
    <xf numFmtId="0" fontId="32" fillId="11" borderId="1" xfId="0" applyFont="1" applyFill="1" applyBorder="1" applyAlignment="1">
      <alignment horizontal="center" vertical="center" textRotation="90" wrapText="1"/>
    </xf>
    <xf numFmtId="0" fontId="32" fillId="11" borderId="3" xfId="0" applyFont="1" applyFill="1" applyBorder="1" applyAlignment="1">
      <alignment horizontal="center" vertical="center" textRotation="90" wrapText="1"/>
    </xf>
    <xf numFmtId="0" fontId="32" fillId="11" borderId="4" xfId="0" applyFont="1" applyFill="1" applyBorder="1" applyAlignment="1">
      <alignment horizontal="center" vertical="center" textRotation="90" wrapText="1"/>
    </xf>
    <xf numFmtId="0" fontId="32" fillId="15" borderId="1" xfId="0" applyFont="1" applyFill="1" applyBorder="1" applyAlignment="1">
      <alignment horizontal="center" vertical="center" textRotation="90" wrapText="1"/>
    </xf>
    <xf numFmtId="0" fontId="32" fillId="15" borderId="3" xfId="0" applyFont="1" applyFill="1" applyBorder="1" applyAlignment="1">
      <alignment horizontal="center" vertical="center" textRotation="90" wrapText="1"/>
    </xf>
    <xf numFmtId="0" fontId="32" fillId="15" borderId="4" xfId="0" applyFont="1" applyFill="1" applyBorder="1" applyAlignment="1">
      <alignment horizontal="center" vertical="center" textRotation="90" wrapText="1"/>
    </xf>
    <xf numFmtId="0" fontId="32" fillId="11" borderId="17" xfId="0" applyFont="1" applyFill="1" applyBorder="1" applyAlignment="1">
      <alignment horizontal="center" vertical="center" textRotation="90" wrapText="1"/>
    </xf>
    <xf numFmtId="0" fontId="32" fillId="11" borderId="73" xfId="0" applyFont="1" applyFill="1" applyBorder="1" applyAlignment="1">
      <alignment horizontal="center" vertical="center" textRotation="90" wrapText="1"/>
    </xf>
    <xf numFmtId="0" fontId="32" fillId="11" borderId="72" xfId="0" applyFont="1" applyFill="1" applyBorder="1" applyAlignment="1">
      <alignment horizontal="center" vertical="center" textRotation="90" wrapText="1"/>
    </xf>
    <xf numFmtId="0" fontId="29" fillId="14" borderId="3" xfId="0" applyFont="1" applyFill="1" applyBorder="1" applyAlignment="1">
      <alignment horizontal="left" vertical="center" wrapText="1"/>
    </xf>
    <xf numFmtId="0" fontId="29" fillId="14" borderId="0" xfId="0" applyFont="1" applyFill="1" applyBorder="1" applyAlignment="1">
      <alignment horizontal="left" vertical="center" wrapText="1"/>
    </xf>
    <xf numFmtId="0" fontId="29" fillId="14" borderId="1" xfId="0" applyFont="1" applyFill="1" applyBorder="1" applyAlignment="1">
      <alignment horizontal="left" vertical="top" wrapText="1"/>
    </xf>
    <xf numFmtId="0" fontId="29" fillId="14" borderId="76" xfId="0" applyFont="1" applyFill="1" applyBorder="1" applyAlignment="1">
      <alignment horizontal="left" vertical="top" wrapText="1"/>
    </xf>
    <xf numFmtId="0" fontId="49" fillId="8" borderId="1" xfId="0" applyFont="1" applyFill="1" applyBorder="1" applyAlignment="1">
      <alignment horizontal="center" vertical="center"/>
    </xf>
    <xf numFmtId="0" fontId="49" fillId="8" borderId="76" xfId="0" applyFont="1" applyFill="1" applyBorder="1" applyAlignment="1">
      <alignment horizontal="center" vertical="center"/>
    </xf>
    <xf numFmtId="0" fontId="49" fillId="8" borderId="2" xfId="0" applyFont="1" applyFill="1" applyBorder="1" applyAlignment="1">
      <alignment horizontal="center" vertical="center"/>
    </xf>
    <xf numFmtId="0" fontId="27" fillId="10" borderId="4" xfId="0" applyFont="1" applyFill="1" applyBorder="1" applyAlignment="1">
      <alignment horizontal="right" vertical="center" wrapText="1" indent="1"/>
    </xf>
    <xf numFmtId="0" fontId="27" fillId="10" borderId="24" xfId="0" applyFont="1" applyFill="1" applyBorder="1" applyAlignment="1">
      <alignment horizontal="right" vertical="center" wrapText="1" indent="1"/>
    </xf>
    <xf numFmtId="0" fontId="27" fillId="10" borderId="5" xfId="0" applyFont="1" applyFill="1" applyBorder="1" applyAlignment="1">
      <alignment horizontal="right" vertical="center" wrapText="1" indent="1"/>
    </xf>
    <xf numFmtId="0" fontId="36" fillId="14" borderId="1" xfId="0" applyFont="1" applyFill="1" applyBorder="1" applyAlignment="1">
      <alignment horizontal="left" vertical="center" wrapText="1"/>
    </xf>
    <xf numFmtId="0" fontId="36" fillId="14" borderId="76" xfId="0" applyFont="1" applyFill="1" applyBorder="1" applyAlignment="1">
      <alignment horizontal="left" vertical="center" wrapText="1"/>
    </xf>
    <xf numFmtId="0" fontId="36" fillId="14" borderId="2" xfId="0" applyFont="1" applyFill="1" applyBorder="1" applyAlignment="1">
      <alignment horizontal="left" vertical="center" wrapText="1"/>
    </xf>
    <xf numFmtId="0" fontId="36" fillId="14" borderId="0" xfId="0" applyFont="1" applyFill="1" applyBorder="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center" vertical="center"/>
    </xf>
    <xf numFmtId="0" fontId="0" fillId="23" borderId="1" xfId="0" applyFill="1" applyBorder="1" applyAlignment="1">
      <alignment horizontal="center" wrapText="1"/>
    </xf>
    <xf numFmtId="0" fontId="0" fillId="23" borderId="76" xfId="0" applyFill="1" applyBorder="1" applyAlignment="1">
      <alignment horizontal="center" wrapText="1"/>
    </xf>
    <xf numFmtId="0" fontId="0" fillId="23" borderId="95" xfId="0" applyFill="1" applyBorder="1" applyAlignment="1">
      <alignment horizontal="center" wrapText="1"/>
    </xf>
    <xf numFmtId="0" fontId="13" fillId="17" borderId="17" xfId="0" applyFont="1" applyFill="1" applyBorder="1" applyAlignment="1">
      <alignment wrapText="1"/>
    </xf>
    <xf numFmtId="0" fontId="13" fillId="17" borderId="73" xfId="0" applyFont="1" applyFill="1" applyBorder="1" applyAlignment="1">
      <alignment wrapText="1"/>
    </xf>
    <xf numFmtId="0" fontId="13" fillId="17" borderId="72" xfId="0" applyFont="1" applyFill="1" applyBorder="1" applyAlignment="1">
      <alignment wrapText="1"/>
    </xf>
    <xf numFmtId="0" fontId="13" fillId="29" borderId="17" xfId="0" applyFont="1" applyFill="1" applyBorder="1" applyAlignment="1">
      <alignment wrapText="1"/>
    </xf>
    <xf numFmtId="0" fontId="13" fillId="29" borderId="73" xfId="0" applyFont="1" applyFill="1" applyBorder="1" applyAlignment="1">
      <alignment wrapText="1"/>
    </xf>
    <xf numFmtId="0" fontId="13" fillId="29" borderId="72" xfId="0" applyFont="1" applyFill="1" applyBorder="1" applyAlignment="1">
      <alignment wrapText="1"/>
    </xf>
    <xf numFmtId="0" fontId="0" fillId="23" borderId="99" xfId="0" applyFill="1" applyBorder="1" applyAlignment="1">
      <alignment horizontal="center" wrapText="1"/>
    </xf>
    <xf numFmtId="0" fontId="0" fillId="0" borderId="97" xfId="0" applyBorder="1" applyAlignment="1">
      <alignment horizontal="center" wrapText="1"/>
    </xf>
    <xf numFmtId="0" fontId="0" fillId="0" borderId="100" xfId="0" applyBorder="1" applyAlignment="1">
      <alignment horizontal="center" wrapText="1"/>
    </xf>
    <xf numFmtId="0" fontId="25" fillId="5" borderId="25" xfId="18" applyFont="1" applyFill="1" applyBorder="1" applyAlignment="1">
      <alignment horizontal="center"/>
    </xf>
    <xf numFmtId="0" fontId="25" fillId="5" borderId="26" xfId="18" applyFont="1" applyFill="1" applyBorder="1" applyAlignment="1">
      <alignment horizontal="center"/>
    </xf>
    <xf numFmtId="0" fontId="25" fillId="5" borderId="27" xfId="18" applyFont="1" applyFill="1" applyBorder="1" applyAlignment="1">
      <alignment horizontal="center"/>
    </xf>
    <xf numFmtId="0" fontId="25" fillId="6" borderId="25" xfId="18" applyFont="1" applyFill="1" applyBorder="1" applyAlignment="1">
      <alignment horizontal="center"/>
    </xf>
    <xf numFmtId="0" fontId="25" fillId="6" borderId="26" xfId="18" applyFont="1" applyFill="1" applyBorder="1" applyAlignment="1">
      <alignment horizontal="center"/>
    </xf>
    <xf numFmtId="0" fontId="13" fillId="0" borderId="25" xfId="18" applyFont="1" applyBorder="1" applyAlignment="1">
      <alignment horizontal="center" vertical="center" wrapText="1"/>
    </xf>
    <xf numFmtId="0" fontId="13" fillId="0" borderId="26" xfId="18" applyFont="1" applyBorder="1" applyAlignment="1">
      <alignment horizontal="center" vertical="center" wrapText="1"/>
    </xf>
    <xf numFmtId="0" fontId="13" fillId="0" borderId="27" xfId="18" applyFont="1" applyBorder="1" applyAlignment="1">
      <alignment horizontal="center" vertical="center" wrapText="1"/>
    </xf>
    <xf numFmtId="0" fontId="48" fillId="0" borderId="0" xfId="18" applyFont="1" applyBorder="1" applyAlignment="1">
      <alignment horizontal="center" vertical="center" wrapText="1"/>
    </xf>
    <xf numFmtId="0" fontId="48" fillId="0" borderId="0" xfId="18" applyFont="1" applyFill="1" applyBorder="1" applyAlignment="1">
      <alignment horizontal="center" vertical="center" wrapText="1"/>
    </xf>
    <xf numFmtId="0" fontId="15" fillId="0" borderId="29" xfId="18" applyFont="1" applyBorder="1" applyAlignment="1">
      <alignment horizontal="center" vertical="center" textRotation="90" wrapText="1"/>
    </xf>
    <xf numFmtId="0" fontId="15" fillId="0" borderId="35" xfId="18" applyFont="1" applyBorder="1" applyAlignment="1">
      <alignment horizontal="center" vertical="center" textRotation="90" wrapText="1"/>
    </xf>
    <xf numFmtId="0" fontId="15" fillId="0" borderId="31" xfId="18" applyFont="1" applyBorder="1" applyAlignment="1">
      <alignment horizontal="center" vertical="center" textRotation="90" wrapText="1"/>
    </xf>
    <xf numFmtId="0" fontId="16" fillId="3" borderId="25" xfId="18" applyFont="1" applyFill="1" applyBorder="1" applyAlignment="1">
      <alignment horizontal="left" vertical="top" wrapText="1"/>
    </xf>
    <xf numFmtId="0" fontId="16" fillId="3" borderId="26" xfId="18" applyFont="1" applyFill="1" applyBorder="1" applyAlignment="1">
      <alignment horizontal="left" vertical="top" wrapText="1"/>
    </xf>
    <xf numFmtId="0" fontId="16" fillId="3" borderId="27" xfId="18" applyFont="1" applyFill="1" applyBorder="1" applyAlignment="1">
      <alignment horizontal="left" vertical="top" wrapText="1"/>
    </xf>
    <xf numFmtId="0" fontId="13" fillId="0" borderId="29" xfId="18" applyFont="1" applyBorder="1" applyAlignment="1">
      <alignment horizontal="center" vertical="center"/>
    </xf>
    <xf numFmtId="0" fontId="13" fillId="0" borderId="31" xfId="18" applyFont="1" applyBorder="1" applyAlignment="1">
      <alignment horizontal="center" vertical="center"/>
    </xf>
    <xf numFmtId="0" fontId="13" fillId="3" borderId="25" xfId="18" applyFont="1" applyFill="1" applyBorder="1" applyAlignment="1">
      <alignment horizontal="center" vertical="center"/>
    </xf>
    <xf numFmtId="0" fontId="13" fillId="3" borderId="26" xfId="18" applyFont="1" applyFill="1" applyBorder="1" applyAlignment="1">
      <alignment horizontal="center" vertical="center"/>
    </xf>
    <xf numFmtId="0" fontId="13" fillId="3" borderId="27" xfId="18" applyFont="1" applyFill="1" applyBorder="1" applyAlignment="1">
      <alignment horizontal="center" vertical="center"/>
    </xf>
    <xf numFmtId="0" fontId="13" fillId="3" borderId="25" xfId="18" applyFont="1" applyFill="1" applyBorder="1" applyAlignment="1">
      <alignment horizontal="center"/>
    </xf>
    <xf numFmtId="0" fontId="13" fillId="3" borderId="26" xfId="18" applyFont="1" applyFill="1" applyBorder="1" applyAlignment="1">
      <alignment horizontal="center"/>
    </xf>
    <xf numFmtId="0" fontId="13" fillId="3" borderId="27" xfId="18" applyFont="1" applyFill="1" applyBorder="1" applyAlignment="1">
      <alignment horizontal="center"/>
    </xf>
    <xf numFmtId="0" fontId="1" fillId="3" borderId="28" xfId="18" quotePrefix="1" applyFont="1" applyFill="1" applyBorder="1" applyAlignment="1">
      <alignment horizontal="center"/>
    </xf>
    <xf numFmtId="165" fontId="14" fillId="0" borderId="29" xfId="18" quotePrefix="1" applyNumberFormat="1" applyFont="1" applyFill="1" applyBorder="1" applyAlignment="1">
      <alignment horizontal="center" vertical="center" wrapText="1"/>
    </xf>
    <xf numFmtId="165" fontId="14" fillId="0" borderId="31" xfId="18" quotePrefix="1" applyNumberFormat="1" applyFont="1" applyFill="1" applyBorder="1" applyAlignment="1">
      <alignment horizontal="center" vertical="center" wrapText="1"/>
    </xf>
    <xf numFmtId="0" fontId="11" fillId="3" borderId="25" xfId="18" quotePrefix="1" applyFont="1" applyFill="1" applyBorder="1" applyAlignment="1">
      <alignment horizontal="center" vertical="center"/>
    </xf>
    <xf numFmtId="0" fontId="11" fillId="3" borderId="26" xfId="18" quotePrefix="1" applyFont="1" applyFill="1" applyBorder="1" applyAlignment="1">
      <alignment horizontal="center" vertical="center"/>
    </xf>
    <xf numFmtId="0" fontId="11" fillId="3" borderId="27" xfId="18" quotePrefix="1" applyFont="1" applyFill="1" applyBorder="1" applyAlignment="1">
      <alignment horizontal="center" vertical="center"/>
    </xf>
    <xf numFmtId="0" fontId="11" fillId="3" borderId="25" xfId="18" applyFont="1" applyFill="1" applyBorder="1" applyAlignment="1">
      <alignment horizontal="center"/>
    </xf>
    <xf numFmtId="0" fontId="11" fillId="3" borderId="26" xfId="18" applyFont="1" applyFill="1" applyBorder="1" applyAlignment="1">
      <alignment horizontal="center"/>
    </xf>
    <xf numFmtId="0" fontId="11" fillId="3" borderId="27" xfId="18" applyFont="1" applyFill="1" applyBorder="1" applyAlignment="1">
      <alignment horizontal="center"/>
    </xf>
  </cellXfs>
  <cellStyles count="21">
    <cellStyle name="Comma" xfId="20" builtinId="3"/>
    <cellStyle name="Comma 2" xfId="6" xr:uid="{00000000-0005-0000-0000-000001000000}"/>
    <cellStyle name="Comma 2 2" xfId="7" xr:uid="{00000000-0005-0000-0000-000002000000}"/>
    <cellStyle name="Milliers 2" xfId="9" xr:uid="{00000000-0005-0000-0000-000003000000}"/>
    <cellStyle name="Milliers 2 2" xfId="13" xr:uid="{00000000-0005-0000-0000-000004000000}"/>
    <cellStyle name="Milliers 2 3" xfId="16" xr:uid="{00000000-0005-0000-0000-000005000000}"/>
    <cellStyle name="Normal" xfId="0" builtinId="0"/>
    <cellStyle name="Normal 2" xfId="1" xr:uid="{00000000-0005-0000-0000-000007000000}"/>
    <cellStyle name="Normal 2 10" xfId="3" xr:uid="{00000000-0005-0000-0000-000008000000}"/>
    <cellStyle name="Normal 2 2" xfId="11" xr:uid="{00000000-0005-0000-0000-000009000000}"/>
    <cellStyle name="Normal 2 3" xfId="14" xr:uid="{00000000-0005-0000-0000-00000A000000}"/>
    <cellStyle name="Normal 3" xfId="4" xr:uid="{00000000-0005-0000-0000-00000B000000}"/>
    <cellStyle name="Normal 4" xfId="18" xr:uid="{00000000-0005-0000-0000-00000C000000}"/>
    <cellStyle name="Percent" xfId="17" builtinId="5"/>
    <cellStyle name="Percent 2" xfId="2" xr:uid="{00000000-0005-0000-0000-00000E000000}"/>
    <cellStyle name="Percent 2 2" xfId="12" xr:uid="{00000000-0005-0000-0000-00000F000000}"/>
    <cellStyle name="Percent 2 3" xfId="15" xr:uid="{00000000-0005-0000-0000-000010000000}"/>
    <cellStyle name="Percent 3" xfId="5" xr:uid="{00000000-0005-0000-0000-000011000000}"/>
    <cellStyle name="Percent 3 2" xfId="8" xr:uid="{00000000-0005-0000-0000-000012000000}"/>
    <cellStyle name="Percent 4" xfId="19" xr:uid="{00000000-0005-0000-0000-000013000000}"/>
    <cellStyle name="Pourcentage 2" xfId="10" xr:uid="{00000000-0005-0000-0000-000014000000}"/>
  </cellStyles>
  <dxfs count="0"/>
  <tableStyles count="0" defaultTableStyle="TableStyleMedium9" defaultPivotStyle="PivotStyleMedium7"/>
  <colors>
    <mruColors>
      <color rgb="FFFFDF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cs2"/><Relationship Id="rId2" Type="http://schemas.openxmlformats.org/officeDocument/2006/relationships/image" Target="../media/image1.png"/><Relationship Id="rId1" Type="http://schemas.openxmlformats.org/officeDocument/2006/relationships/hyperlink" Target="#cs1"/></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95250</xdr:colOff>
      <xdr:row>2</xdr:row>
      <xdr:rowOff>104775</xdr:rowOff>
    </xdr:to>
    <xdr:pic>
      <xdr:nvPicPr>
        <xdr:cNvPr id="2" name="Picture 1" descr="Source: Ministry of Finance or Treasury&#10;Latest actual data: 2015&#10;Start/end months of reporting year: January/December&#10;GFS Manual used: Government Finance Statistics Manual (GFSM) 2001&#10;Basis of recording: Accrual&#10;General government includes: Central Government;Local Government;&#10;Valuation of public debt: Nominal value&#10;Primary domestic currency: Congo franc&#10;Data last updated: 03/2017">
          <a:hlinkClick xmlns:r="http://schemas.openxmlformats.org/officeDocument/2006/relationships" r:id="rId1"/>
          <a:extLst>
            <a:ext uri="{FF2B5EF4-FFF2-40B4-BE49-F238E27FC236}">
              <a16:creationId xmlns:a16="http://schemas.microsoft.com/office/drawing/2014/main" id="{25C8FFE6-1516-47E4-9C27-F3AE33F279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904875"/>
          <a:ext cx="952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5</xdr:col>
      <xdr:colOff>95250</xdr:colOff>
      <xdr:row>3</xdr:row>
      <xdr:rowOff>104775</xdr:rowOff>
    </xdr:to>
    <xdr:pic>
      <xdr:nvPicPr>
        <xdr:cNvPr id="3" name="Picture 2" descr="Source: Ministry of Finance or Treasury&#10;Latest actual data: 2015&#10;Start/end months of reporting year: January/December&#10;GFS Manual used: Government Finance Statistics Manual (GFSM) 2001&#10;Basis of recording: Accrual&#10;General government includes: Central Government;Local Government;&#10;Valuation of public debt: Nominal value&#10;Primary domestic currency: Congo franc&#10;Data last updated: 03/2017">
          <a:hlinkClick xmlns:r="http://schemas.openxmlformats.org/officeDocument/2006/relationships" r:id="rId3"/>
          <a:extLst>
            <a:ext uri="{FF2B5EF4-FFF2-40B4-BE49-F238E27FC236}">
              <a16:creationId xmlns:a16="http://schemas.microsoft.com/office/drawing/2014/main" id="{6B832CFD-F289-452C-935E-E1945A434F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1114425"/>
          <a:ext cx="952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zoomScale="60" zoomScaleNormal="60" zoomScalePageLayoutView="85" workbookViewId="0">
      <selection activeCell="E10" sqref="E10"/>
    </sheetView>
  </sheetViews>
  <sheetFormatPr defaultColWidth="10.8984375" defaultRowHeight="18" x14ac:dyDescent="0.35"/>
  <cols>
    <col min="1" max="1" width="1.5" style="1" customWidth="1"/>
    <col min="2" max="2" width="25.09765625" style="1" customWidth="1"/>
    <col min="3" max="3" width="119.8984375" style="1" customWidth="1"/>
    <col min="4" max="5" width="23.5" style="1" customWidth="1"/>
    <col min="6" max="6" width="26.59765625" style="1" customWidth="1"/>
    <col min="7" max="10" width="18.09765625" style="1" customWidth="1"/>
    <col min="11" max="11" width="136" style="1" customWidth="1"/>
    <col min="12" max="16384" width="10.8984375" style="1"/>
  </cols>
  <sheetData>
    <row r="1" spans="2:11" ht="11.1" customHeight="1" thickBot="1" x14ac:dyDescent="0.4"/>
    <row r="2" spans="2:11" ht="29.1" customHeight="1" thickBot="1" x14ac:dyDescent="0.4">
      <c r="B2" s="5" t="s">
        <v>122</v>
      </c>
      <c r="C2" s="6"/>
      <c r="K2" s="1" t="s">
        <v>0</v>
      </c>
    </row>
    <row r="3" spans="2:11" ht="111" customHeight="1" x14ac:dyDescent="0.35">
      <c r="B3" s="525" t="s">
        <v>123</v>
      </c>
      <c r="C3" s="526"/>
      <c r="D3" s="547" t="str">
        <f>"Annonce de contribution de la "&amp;C7&amp;" pour la période 2017-2020"</f>
        <v>Annonce de contribution de la RDC pour la période 2017-2020</v>
      </c>
      <c r="E3" s="548"/>
      <c r="F3" s="548"/>
      <c r="G3" s="548"/>
      <c r="H3" s="548"/>
      <c r="I3" s="548"/>
      <c r="J3" s="549"/>
    </row>
    <row r="4" spans="2:11" ht="29.1" customHeight="1" thickBot="1" x14ac:dyDescent="0.4">
      <c r="B4" s="527" t="s">
        <v>124</v>
      </c>
      <c r="C4" s="528"/>
      <c r="D4" s="403"/>
      <c r="E4" s="404"/>
      <c r="F4" s="404"/>
      <c r="G4" s="405">
        <v>2017</v>
      </c>
      <c r="H4" s="405">
        <v>2018</v>
      </c>
      <c r="I4" s="405">
        <v>2019</v>
      </c>
      <c r="J4" s="406">
        <v>2020</v>
      </c>
    </row>
    <row r="5" spans="2:11" ht="75" customHeight="1" thickBot="1" x14ac:dyDescent="0.4">
      <c r="D5" s="550" t="s">
        <v>146</v>
      </c>
      <c r="E5" s="551"/>
      <c r="F5" s="552"/>
      <c r="G5" s="409" t="str">
        <f>G17</f>
        <v/>
      </c>
      <c r="H5" s="410" t="str">
        <f>H17</f>
        <v/>
      </c>
      <c r="I5" s="410" t="str">
        <f>I17</f>
        <v/>
      </c>
      <c r="J5" s="411" t="str">
        <f>J17</f>
        <v/>
      </c>
    </row>
    <row r="6" spans="2:11" ht="42" customHeight="1" thickBot="1" x14ac:dyDescent="0.4">
      <c r="D6" s="407"/>
      <c r="E6" s="407"/>
      <c r="F6" s="407"/>
      <c r="G6" s="408"/>
      <c r="H6" s="408"/>
      <c r="I6" s="408"/>
      <c r="J6" s="408"/>
    </row>
    <row r="7" spans="2:11" s="2" customFormat="1" ht="51" customHeight="1" thickBot="1" x14ac:dyDescent="0.4">
      <c r="B7" s="7" t="s">
        <v>15</v>
      </c>
      <c r="C7" s="8" t="s">
        <v>16</v>
      </c>
      <c r="D7" s="529" t="s">
        <v>147</v>
      </c>
      <c r="E7" s="530"/>
      <c r="F7" s="531"/>
      <c r="G7" s="529" t="s">
        <v>148</v>
      </c>
      <c r="H7" s="530"/>
      <c r="I7" s="530"/>
      <c r="J7" s="531"/>
      <c r="K7" s="532" t="s">
        <v>149</v>
      </c>
    </row>
    <row r="8" spans="2:11" s="4" customFormat="1" ht="41.1" customHeight="1" thickTop="1" thickBot="1" x14ac:dyDescent="0.35">
      <c r="B8" s="469" t="s">
        <v>125</v>
      </c>
      <c r="C8" s="9" t="s">
        <v>126</v>
      </c>
      <c r="D8" s="10">
        <v>2014</v>
      </c>
      <c r="E8" s="11">
        <v>2015</v>
      </c>
      <c r="F8" s="12">
        <v>2016</v>
      </c>
      <c r="G8" s="10">
        <v>2017</v>
      </c>
      <c r="H8" s="11">
        <v>2018</v>
      </c>
      <c r="I8" s="11">
        <v>2019</v>
      </c>
      <c r="J8" s="12">
        <v>2020</v>
      </c>
      <c r="K8" s="533"/>
    </row>
    <row r="9" spans="2:11" s="3" customFormat="1" ht="42.9" customHeight="1" x14ac:dyDescent="0.3">
      <c r="B9" s="534" t="s">
        <v>131</v>
      </c>
      <c r="C9" s="45" t="s">
        <v>127</v>
      </c>
      <c r="D9" s="13">
        <f t="shared" ref="D9:J9" si="0">IFERROR(IF(D$10+D$11-D$12&lt;&gt;0,D$10+D$11-D$12,""),"")</f>
        <v>3648502</v>
      </c>
      <c r="E9" s="14">
        <f t="shared" si="0"/>
        <v>4297862.927007</v>
      </c>
      <c r="F9" s="15">
        <f t="shared" si="0"/>
        <v>3841794.1030000006</v>
      </c>
      <c r="G9" s="13" t="str">
        <f t="shared" si="0"/>
        <v/>
      </c>
      <c r="H9" s="14" t="str">
        <f t="shared" si="0"/>
        <v/>
      </c>
      <c r="I9" s="14" t="str">
        <f t="shared" si="0"/>
        <v/>
      </c>
      <c r="J9" s="15" t="str">
        <f t="shared" si="0"/>
        <v/>
      </c>
      <c r="K9" s="412"/>
    </row>
    <row r="10" spans="2:11" s="3" customFormat="1" ht="42.9" customHeight="1" x14ac:dyDescent="0.3">
      <c r="B10" s="535"/>
      <c r="C10" s="47" t="s">
        <v>128</v>
      </c>
      <c r="D10" s="16">
        <f>'Données 2016 du GPE'!I16+'Données 2016 du GPE'!I20</f>
        <v>3525432</v>
      </c>
      <c r="E10" s="17">
        <f>'Données 2016 du GPE'!P16+'Données 2016 du GPE'!P20</f>
        <v>3996184.3838740001</v>
      </c>
      <c r="F10" s="18">
        <f>'Données 2016 du GPE'!V16+F12</f>
        <v>3853168.6370000006</v>
      </c>
      <c r="G10" s="415"/>
      <c r="H10" s="416"/>
      <c r="I10" s="416"/>
      <c r="J10" s="417"/>
      <c r="K10" s="413"/>
    </row>
    <row r="11" spans="2:11" s="3" customFormat="1" ht="42.9" customHeight="1" x14ac:dyDescent="0.3">
      <c r="B11" s="535"/>
      <c r="C11" s="47" t="s">
        <v>129</v>
      </c>
      <c r="D11" s="16">
        <f>'Données 2016 du GPE'!I17</f>
        <v>369824</v>
      </c>
      <c r="E11" s="17">
        <f>'Données 2016 du GPE'!P17</f>
        <v>585289.47482200002</v>
      </c>
      <c r="F11" s="18">
        <f>'Données 2016 du GPE'!V17+'Données 2016 du GPE'!V18</f>
        <v>278904.06599999999</v>
      </c>
      <c r="G11" s="415"/>
      <c r="H11" s="416"/>
      <c r="I11" s="416"/>
      <c r="J11" s="417"/>
      <c r="K11" s="413"/>
    </row>
    <row r="12" spans="2:11" s="3" customFormat="1" ht="42.9" customHeight="1" thickBot="1" x14ac:dyDescent="0.35">
      <c r="B12" s="536"/>
      <c r="C12" s="48" t="s">
        <v>130</v>
      </c>
      <c r="D12" s="19">
        <f>'Données 2016 du GPE'!I20</f>
        <v>246754</v>
      </c>
      <c r="E12" s="20">
        <f>'Données 2016 du GPE'!P20</f>
        <v>283610.93168899999</v>
      </c>
      <c r="F12" s="21">
        <f>'Données 2016 du GPE'!V20+'Données 2016 du GPE'!V19</f>
        <v>290278.59999999998</v>
      </c>
      <c r="G12" s="418"/>
      <c r="H12" s="419"/>
      <c r="I12" s="419"/>
      <c r="J12" s="420"/>
      <c r="K12" s="414"/>
    </row>
    <row r="13" spans="2:11" s="3" customFormat="1" ht="42.9" customHeight="1" x14ac:dyDescent="0.3">
      <c r="B13" s="537" t="s">
        <v>132</v>
      </c>
      <c r="C13" s="470" t="s">
        <v>133</v>
      </c>
      <c r="D13" s="13">
        <f t="shared" ref="D13:J13" si="1">IFERROR(IF(D$14+D$15&lt;&gt;0,D$14+D$15,""),"")</f>
        <v>648344</v>
      </c>
      <c r="E13" s="33">
        <f t="shared" si="1"/>
        <v>667821.44676937396</v>
      </c>
      <c r="F13" s="36">
        <f t="shared" si="1"/>
        <v>778440.117096</v>
      </c>
      <c r="G13" s="13" t="str">
        <f t="shared" si="1"/>
        <v/>
      </c>
      <c r="H13" s="14" t="str">
        <f t="shared" si="1"/>
        <v/>
      </c>
      <c r="I13" s="14" t="str">
        <f t="shared" si="1"/>
        <v/>
      </c>
      <c r="J13" s="15" t="str">
        <f t="shared" si="1"/>
        <v/>
      </c>
      <c r="K13" s="412"/>
    </row>
    <row r="14" spans="2:11" s="3" customFormat="1" ht="42.9" customHeight="1" x14ac:dyDescent="0.3">
      <c r="B14" s="538"/>
      <c r="C14" s="49" t="s">
        <v>134</v>
      </c>
      <c r="D14" s="22">
        <f>'Données 2016 du GPE'!I75</f>
        <v>612365</v>
      </c>
      <c r="E14" s="34">
        <f>'Données 2016 du GPE'!P75</f>
        <v>667633.39408580959</v>
      </c>
      <c r="F14" s="37">
        <f>'Données 2016 du GPE'!V75</f>
        <v>757252.23924600007</v>
      </c>
      <c r="G14" s="421"/>
      <c r="H14" s="422"/>
      <c r="I14" s="422"/>
      <c r="J14" s="423"/>
      <c r="K14" s="413"/>
    </row>
    <row r="15" spans="2:11" s="3" customFormat="1" ht="42.9" customHeight="1" thickBot="1" x14ac:dyDescent="0.35">
      <c r="B15" s="539"/>
      <c r="C15" s="50" t="s">
        <v>135</v>
      </c>
      <c r="D15" s="23">
        <f>'Données 2016 du GPE'!I73-'Données 2016 du GPE'!I75</f>
        <v>35979</v>
      </c>
      <c r="E15" s="35">
        <f>'Données 2016 du GPE'!P73-'Données 2016 du GPE'!P75</f>
        <v>188.05268356436864</v>
      </c>
      <c r="F15" s="38">
        <f>'Données 2016 du GPE'!V73-'Données 2016 du GPE'!V75</f>
        <v>21187.877849999932</v>
      </c>
      <c r="G15" s="424"/>
      <c r="H15" s="425"/>
      <c r="I15" s="425"/>
      <c r="J15" s="426"/>
      <c r="K15" s="414"/>
    </row>
    <row r="16" spans="2:11" s="3" customFormat="1" ht="42.9" customHeight="1" x14ac:dyDescent="0.3">
      <c r="B16" s="540" t="s">
        <v>136</v>
      </c>
      <c r="C16" s="51" t="s">
        <v>137</v>
      </c>
      <c r="D16" s="24">
        <f t="shared" ref="D16:J16" si="2">IFERROR(D$13/D$9,"")</f>
        <v>0.17770142376240988</v>
      </c>
      <c r="E16" s="39">
        <f t="shared" si="2"/>
        <v>0.15538453834181257</v>
      </c>
      <c r="F16" s="40">
        <f t="shared" si="2"/>
        <v>0.2026241116066391</v>
      </c>
      <c r="G16" s="24" t="str">
        <f t="shared" si="2"/>
        <v/>
      </c>
      <c r="H16" s="25" t="str">
        <f t="shared" si="2"/>
        <v/>
      </c>
      <c r="I16" s="25" t="str">
        <f t="shared" si="2"/>
        <v/>
      </c>
      <c r="J16" s="26" t="str">
        <f t="shared" si="2"/>
        <v/>
      </c>
      <c r="K16" s="412"/>
    </row>
    <row r="17" spans="2:14" s="3" customFormat="1" ht="42.9" customHeight="1" x14ac:dyDescent="0.3">
      <c r="B17" s="541"/>
      <c r="C17" s="471" t="s">
        <v>138</v>
      </c>
      <c r="D17" s="27">
        <f>IFERROR(D$14/(D$10-D12),"")</f>
        <v>0.18677192453787778</v>
      </c>
      <c r="E17" s="44">
        <f>IFERROR(E$14/(E$10-E$12), "")</f>
        <v>0.17983035290328875</v>
      </c>
      <c r="F17" s="41">
        <f t="shared" ref="F17:J17" si="3">IFERROR(F$14/(F$10-F$12), "")</f>
        <v>0.21253876246026843</v>
      </c>
      <c r="G17" s="27" t="str">
        <f t="shared" si="3"/>
        <v/>
      </c>
      <c r="H17" s="29" t="str">
        <f>IFERROR(H$14/(H$10-H$12), "")</f>
        <v/>
      </c>
      <c r="I17" s="29" t="str">
        <f t="shared" si="3"/>
        <v/>
      </c>
      <c r="J17" s="28" t="str">
        <f t="shared" si="3"/>
        <v/>
      </c>
      <c r="K17" s="413"/>
    </row>
    <row r="18" spans="2:14" s="3" customFormat="1" ht="48" customHeight="1" thickBot="1" x14ac:dyDescent="0.35">
      <c r="B18" s="542"/>
      <c r="C18" s="46" t="s">
        <v>139</v>
      </c>
      <c r="D18" s="402">
        <f>IFERROR(D$15/D$11,"")</f>
        <v>9.728681751319547E-2</v>
      </c>
      <c r="E18" s="42">
        <f>IFERROR(E$15/E$11, "")</f>
        <v>3.2129859096058372E-4</v>
      </c>
      <c r="F18" s="43">
        <f t="shared" ref="F18:J18" si="4">IFERROR(F$15/F$11, "")</f>
        <v>7.5968336187683727E-2</v>
      </c>
      <c r="G18" s="30" t="str">
        <f t="shared" si="4"/>
        <v/>
      </c>
      <c r="H18" s="31" t="str">
        <f t="shared" si="4"/>
        <v/>
      </c>
      <c r="I18" s="31" t="str">
        <f t="shared" si="4"/>
        <v/>
      </c>
      <c r="J18" s="32" t="str">
        <f t="shared" si="4"/>
        <v/>
      </c>
      <c r="K18" s="414"/>
    </row>
    <row r="19" spans="2:14" ht="36" customHeight="1" thickBot="1" x14ac:dyDescent="0.4">
      <c r="B19" s="553" t="s">
        <v>140</v>
      </c>
      <c r="C19" s="554"/>
      <c r="D19" s="554"/>
      <c r="E19" s="554"/>
      <c r="F19" s="554"/>
      <c r="G19" s="554"/>
      <c r="H19" s="554"/>
      <c r="I19" s="554"/>
      <c r="J19" s="554"/>
      <c r="K19" s="554"/>
      <c r="L19" s="554"/>
      <c r="M19" s="554"/>
      <c r="N19" s="555"/>
    </row>
    <row r="20" spans="2:14" ht="75.900000000000006" customHeight="1" thickBot="1" x14ac:dyDescent="0.4">
      <c r="B20" s="545" t="s">
        <v>141</v>
      </c>
      <c r="C20" s="546"/>
      <c r="D20" s="513" t="s">
        <v>150</v>
      </c>
      <c r="E20" s="514"/>
      <c r="F20" s="514"/>
      <c r="G20" s="514"/>
      <c r="H20" s="514"/>
      <c r="I20" s="514"/>
      <c r="J20" s="514"/>
      <c r="K20" s="514"/>
      <c r="L20" s="514"/>
      <c r="M20" s="514"/>
      <c r="N20" s="515"/>
    </row>
    <row r="21" spans="2:14" ht="39" customHeight="1" thickBot="1" x14ac:dyDescent="0.4">
      <c r="B21" s="543" t="s">
        <v>142</v>
      </c>
      <c r="C21" s="544"/>
      <c r="D21" s="513" t="s">
        <v>150</v>
      </c>
      <c r="E21" s="514"/>
      <c r="F21" s="514"/>
      <c r="G21" s="514"/>
      <c r="H21" s="514"/>
      <c r="I21" s="514"/>
      <c r="J21" s="514"/>
      <c r="K21" s="514"/>
      <c r="L21" s="514"/>
      <c r="M21" s="514"/>
      <c r="N21" s="515"/>
    </row>
    <row r="22" spans="2:14" ht="77.099999999999994" customHeight="1" thickBot="1" x14ac:dyDescent="0.4">
      <c r="B22" s="523" t="s">
        <v>143</v>
      </c>
      <c r="C22" s="524"/>
      <c r="D22" s="513" t="s">
        <v>150</v>
      </c>
      <c r="E22" s="514"/>
      <c r="F22" s="514"/>
      <c r="G22" s="514"/>
      <c r="H22" s="514"/>
      <c r="I22" s="514"/>
      <c r="J22" s="514"/>
      <c r="K22" s="514"/>
      <c r="L22" s="514"/>
      <c r="M22" s="514"/>
      <c r="N22" s="515"/>
    </row>
    <row r="23" spans="2:14" ht="114" customHeight="1" thickBot="1" x14ac:dyDescent="0.4">
      <c r="B23" s="516" t="s">
        <v>144</v>
      </c>
      <c r="C23" s="517"/>
      <c r="D23" s="518" t="s">
        <v>150</v>
      </c>
      <c r="E23" s="519"/>
      <c r="F23" s="519"/>
      <c r="G23" s="519"/>
      <c r="H23" s="519"/>
      <c r="I23" s="519"/>
      <c r="J23" s="519"/>
      <c r="K23" s="520"/>
    </row>
    <row r="24" spans="2:14" ht="96" customHeight="1" thickBot="1" x14ac:dyDescent="0.4">
      <c r="B24" s="521" t="s">
        <v>145</v>
      </c>
      <c r="C24" s="522"/>
      <c r="D24" s="519" t="s">
        <v>150</v>
      </c>
      <c r="E24" s="519"/>
      <c r="F24" s="519"/>
      <c r="G24" s="519"/>
      <c r="H24" s="519"/>
      <c r="I24" s="519"/>
      <c r="J24" s="519"/>
      <c r="K24" s="520"/>
    </row>
  </sheetData>
  <sheetProtection password="DF4A" sheet="1" objects="1" scenarios="1"/>
  <mergeCells count="21">
    <mergeCell ref="B24:C24"/>
    <mergeCell ref="D24:K24"/>
    <mergeCell ref="B22:C22"/>
    <mergeCell ref="B3:C3"/>
    <mergeCell ref="B4:C4"/>
    <mergeCell ref="D7:F7"/>
    <mergeCell ref="G7:J7"/>
    <mergeCell ref="K7:K8"/>
    <mergeCell ref="B9:B12"/>
    <mergeCell ref="B13:B15"/>
    <mergeCell ref="B16:B18"/>
    <mergeCell ref="B21:C21"/>
    <mergeCell ref="B20:C20"/>
    <mergeCell ref="D3:J3"/>
    <mergeCell ref="D5:F5"/>
    <mergeCell ref="B19:N19"/>
    <mergeCell ref="D20:N20"/>
    <mergeCell ref="D21:N21"/>
    <mergeCell ref="D22:N22"/>
    <mergeCell ref="B23:C23"/>
    <mergeCell ref="D23:K23"/>
  </mergeCells>
  <pageMargins left="0.7" right="0.7" top="0.75" bottom="0.75" header="0.3" footer="0.3"/>
  <pageSetup paperSize="9"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0"/>
  <sheetViews>
    <sheetView tabSelected="1" topLeftCell="F7" zoomScale="70" zoomScaleNormal="70" workbookViewId="0">
      <selection activeCell="K15" sqref="K15"/>
    </sheetView>
  </sheetViews>
  <sheetFormatPr defaultColWidth="10.8984375" defaultRowHeight="18" x14ac:dyDescent="0.35"/>
  <cols>
    <col min="1" max="1" width="1.5" style="1" customWidth="1"/>
    <col min="2" max="2" width="25.09765625" style="1" customWidth="1"/>
    <col min="3" max="3" width="119.8984375" style="1" customWidth="1"/>
    <col min="4" max="5" width="23.5" style="1" customWidth="1"/>
    <col min="6" max="6" width="42.09765625" style="1" customWidth="1"/>
    <col min="7" max="7" width="34.8984375" style="1" customWidth="1"/>
    <col min="8" max="8" width="30.8984375" style="1" bestFit="1" customWidth="1"/>
    <col min="9" max="9" width="31.09765625" style="1" customWidth="1"/>
    <col min="10" max="10" width="32.3984375" style="1" bestFit="1" customWidth="1"/>
    <col min="11" max="11" width="136" style="1" customWidth="1"/>
    <col min="12" max="16384" width="10.8984375" style="1"/>
  </cols>
  <sheetData>
    <row r="1" spans="2:11" ht="11.1" customHeight="1" thickBot="1" x14ac:dyDescent="0.4"/>
    <row r="2" spans="2:11" ht="29.1" customHeight="1" thickBot="1" x14ac:dyDescent="0.4">
      <c r="B2" s="5" t="s">
        <v>122</v>
      </c>
      <c r="C2" s="6"/>
      <c r="K2" s="1" t="s">
        <v>0</v>
      </c>
    </row>
    <row r="3" spans="2:11" ht="111" customHeight="1" x14ac:dyDescent="0.35">
      <c r="B3" s="525" t="s">
        <v>123</v>
      </c>
      <c r="C3" s="526"/>
      <c r="D3" s="547" t="str">
        <f>"Annonce de contribution de la "&amp;C7&amp;" pour la période 2017-2020"</f>
        <v>Annonce de contribution de la RDC pour la période 2017-2020</v>
      </c>
      <c r="E3" s="548"/>
      <c r="F3" s="548"/>
      <c r="G3" s="548"/>
      <c r="H3" s="548"/>
      <c r="I3" s="548"/>
      <c r="J3" s="549"/>
    </row>
    <row r="4" spans="2:11" ht="29.1" customHeight="1" thickBot="1" x14ac:dyDescent="0.4">
      <c r="B4" s="527" t="s">
        <v>124</v>
      </c>
      <c r="C4" s="528"/>
      <c r="D4" s="403"/>
      <c r="E4" s="404"/>
      <c r="F4" s="404"/>
      <c r="G4" s="405">
        <v>2017</v>
      </c>
      <c r="H4" s="405">
        <v>2018</v>
      </c>
      <c r="I4" s="405">
        <v>2019</v>
      </c>
      <c r="J4" s="406">
        <v>2020</v>
      </c>
    </row>
    <row r="5" spans="2:11" ht="75" customHeight="1" thickBot="1" x14ac:dyDescent="0.4">
      <c r="D5" s="550" t="s">
        <v>146</v>
      </c>
      <c r="E5" s="551"/>
      <c r="F5" s="552"/>
      <c r="G5" s="409">
        <f>G17</f>
        <v>0.22187004754358161</v>
      </c>
      <c r="H5" s="410">
        <f>H17</f>
        <v>0.21082347698970458</v>
      </c>
      <c r="I5" s="410">
        <f>I17</f>
        <v>0.20618848219356267</v>
      </c>
      <c r="J5" s="411">
        <f>J17</f>
        <v>0.20307597865714197</v>
      </c>
    </row>
    <row r="6" spans="2:11" ht="42" customHeight="1" thickBot="1" x14ac:dyDescent="0.4">
      <c r="D6" s="407"/>
      <c r="E6" s="407"/>
      <c r="F6" s="407"/>
      <c r="G6" s="408">
        <f>G14/(G9+G12)</f>
        <v>0.17857698054936583</v>
      </c>
      <c r="H6" s="408">
        <f t="shared" ref="H6:J6" si="0">H14/(H9+H12)</f>
        <v>0.17255073521481681</v>
      </c>
      <c r="I6" s="408">
        <f t="shared" si="0"/>
        <v>0.16462113161391706</v>
      </c>
      <c r="J6" s="408">
        <f t="shared" si="0"/>
        <v>0.16634708773227175</v>
      </c>
    </row>
    <row r="7" spans="2:11" s="2" customFormat="1" ht="51" customHeight="1" thickBot="1" x14ac:dyDescent="0.4">
      <c r="B7" s="7" t="s">
        <v>15</v>
      </c>
      <c r="C7" s="8" t="s">
        <v>16</v>
      </c>
      <c r="D7" s="529" t="s">
        <v>147</v>
      </c>
      <c r="E7" s="530"/>
      <c r="F7" s="531"/>
      <c r="G7" s="529" t="s">
        <v>148</v>
      </c>
      <c r="H7" s="530"/>
      <c r="I7" s="530"/>
      <c r="J7" s="531"/>
      <c r="K7" s="532" t="s">
        <v>149</v>
      </c>
    </row>
    <row r="8" spans="2:11" s="4" customFormat="1" ht="41.1" customHeight="1" thickTop="1" thickBot="1" x14ac:dyDescent="0.35">
      <c r="B8" s="469" t="s">
        <v>125</v>
      </c>
      <c r="C8" s="9" t="s">
        <v>126</v>
      </c>
      <c r="D8" s="472">
        <v>2014</v>
      </c>
      <c r="E8" s="473">
        <v>2015</v>
      </c>
      <c r="F8" s="474">
        <v>2016</v>
      </c>
      <c r="G8" s="472">
        <v>2017</v>
      </c>
      <c r="H8" s="473">
        <v>2018</v>
      </c>
      <c r="I8" s="473">
        <v>2019</v>
      </c>
      <c r="J8" s="474">
        <v>2020</v>
      </c>
      <c r="K8" s="533"/>
    </row>
    <row r="9" spans="2:11" s="3" customFormat="1" ht="42.9" customHeight="1" x14ac:dyDescent="0.3">
      <c r="B9" s="534" t="s">
        <v>131</v>
      </c>
      <c r="C9" s="475" t="s">
        <v>127</v>
      </c>
      <c r="D9" s="485">
        <f>IFERROR(IF(D$10+D$11-D$12&lt;&gt;0,D$10+D$11-D$12,""),"")</f>
        <v>3648502</v>
      </c>
      <c r="E9" s="485">
        <f t="shared" ref="E9:J9" si="1">IFERROR(IF(E$10+E$11-E$12&lt;&gt;0,E$10+E$11-E$12,""),"")</f>
        <v>4195067.6114440002</v>
      </c>
      <c r="F9" s="485">
        <f>IFERROR(IF(F$10+F$11-F$12&lt;&gt;0,F$10+F$11-F$12,""),"")</f>
        <v>3569346.8659999999</v>
      </c>
      <c r="G9" s="485">
        <f>IFERROR(IF(G$10+G$11-G$12&lt;&gt;0,G$10+G$11-G$12,""),"")</f>
        <v>4368906.1895880001</v>
      </c>
      <c r="H9" s="485">
        <f>IFERROR(IF(H$10+H$11-H$12&lt;&gt;0,H$10+H$11-H$12,""),"")</f>
        <v>4745163.5449224208</v>
      </c>
      <c r="I9" s="485">
        <f t="shared" si="1"/>
        <v>4904079.9969997872</v>
      </c>
      <c r="J9" s="485">
        <f t="shared" si="1"/>
        <v>6118709.9500647886</v>
      </c>
      <c r="K9" s="412"/>
    </row>
    <row r="10" spans="2:11" s="3" customFormat="1" ht="42.9" customHeight="1" x14ac:dyDescent="0.3">
      <c r="B10" s="535"/>
      <c r="C10" s="476" t="s">
        <v>128</v>
      </c>
      <c r="D10" s="486">
        <f>'Données 2016 du GPE'!I16+'Données 2016 du GPE'!I20</f>
        <v>3525432</v>
      </c>
      <c r="E10" s="486">
        <f>4177000-E12</f>
        <v>3893389.0683110002</v>
      </c>
      <c r="F10" s="486">
        <f>3871000-F12</f>
        <v>3580721.4</v>
      </c>
      <c r="G10" s="487">
        <f>4236000-G12</f>
        <v>3979450</v>
      </c>
      <c r="H10" s="487">
        <f>4606000-H12</f>
        <v>4349736</v>
      </c>
      <c r="I10" s="487">
        <f>5066000-I12</f>
        <v>4654845</v>
      </c>
      <c r="J10" s="487">
        <f>6286000-J12</f>
        <v>5834111</v>
      </c>
      <c r="K10" s="413"/>
    </row>
    <row r="11" spans="2:11" s="3" customFormat="1" ht="42.9" customHeight="1" x14ac:dyDescent="0.3">
      <c r="B11" s="535"/>
      <c r="C11" s="476" t="s">
        <v>129</v>
      </c>
      <c r="D11" s="486">
        <f>'Données 2016 du GPE'!I17</f>
        <v>369824</v>
      </c>
      <c r="E11" s="486">
        <f>'Données 2016 du GPE'!P17</f>
        <v>585289.47482200002</v>
      </c>
      <c r="F11" s="486">
        <f>'Données 2016 du GPE'!V17+'Données 2016 du GPE'!V18</f>
        <v>278904.06599999999</v>
      </c>
      <c r="G11" s="487">
        <f>(646006189588)/1000000</f>
        <v>646006.18958799995</v>
      </c>
      <c r="H11" s="487">
        <f>(651691544922.421)/1000000</f>
        <v>651691.54492242099</v>
      </c>
      <c r="I11" s="487">
        <f>(660389996999.787)/1000000</f>
        <v>660389.99699978693</v>
      </c>
      <c r="J11" s="487">
        <f>(736487950064.789)/1000000</f>
        <v>736487.95006478892</v>
      </c>
      <c r="K11" s="413"/>
    </row>
    <row r="12" spans="2:11" s="3" customFormat="1" ht="42.9" customHeight="1" thickBot="1" x14ac:dyDescent="0.35">
      <c r="B12" s="536"/>
      <c r="C12" s="477" t="s">
        <v>130</v>
      </c>
      <c r="D12" s="488">
        <f>'Données 2016 du GPE'!I20</f>
        <v>246754</v>
      </c>
      <c r="E12" s="488">
        <f>'Données 2016 du GPE'!P20</f>
        <v>283610.93168899999</v>
      </c>
      <c r="F12" s="488">
        <f>'Données 2016 du GPE'!V20+'Données 2016 du GPE'!V19</f>
        <v>290278.59999999998</v>
      </c>
      <c r="G12" s="489">
        <f>Feuil1!I5</f>
        <v>256549.99999999994</v>
      </c>
      <c r="H12" s="484">
        <f>Feuil1!J5</f>
        <v>256264</v>
      </c>
      <c r="I12" s="484">
        <f>Feuil1!K5</f>
        <v>411155</v>
      </c>
      <c r="J12" s="484">
        <f>Feuil1!L5</f>
        <v>451888.99999999994</v>
      </c>
      <c r="K12" s="414"/>
    </row>
    <row r="13" spans="2:11" s="3" customFormat="1" ht="42.9" customHeight="1" x14ac:dyDescent="0.3">
      <c r="B13" s="537" t="s">
        <v>132</v>
      </c>
      <c r="C13" s="478" t="s">
        <v>133</v>
      </c>
      <c r="D13" s="485">
        <f t="shared" ref="D13:J13" si="2">IFERROR(IF(D$14+D$15&lt;&gt;0,D$14+D$15,""),"")</f>
        <v>648344</v>
      </c>
      <c r="E13" s="490">
        <f t="shared" si="2"/>
        <v>667821.44676937396</v>
      </c>
      <c r="F13" s="491">
        <f t="shared" si="2"/>
        <v>774252.23924600007</v>
      </c>
      <c r="G13" s="485">
        <f>IFERROR(IF(G$14+G$15&lt;&gt;0,G$14+G$15,""),"")</f>
        <v>928000</v>
      </c>
      <c r="H13" s="485">
        <f>IFERROR(IF(H$14+H$15&lt;&gt;0,H$14+H$15,""),"")</f>
        <v>1068000</v>
      </c>
      <c r="I13" s="485">
        <f t="shared" si="2"/>
        <v>1118000</v>
      </c>
      <c r="J13" s="485">
        <f t="shared" si="2"/>
        <v>1382000</v>
      </c>
      <c r="K13" s="412"/>
    </row>
    <row r="14" spans="2:11" s="3" customFormat="1" ht="42.9" customHeight="1" x14ac:dyDescent="0.3">
      <c r="B14" s="538"/>
      <c r="C14" s="479" t="s">
        <v>134</v>
      </c>
      <c r="D14" s="488">
        <f>'Données 2016 du GPE'!I75</f>
        <v>612365</v>
      </c>
      <c r="E14" s="492">
        <f>'Données 2016 du GPE'!P75</f>
        <v>667633.39408580959</v>
      </c>
      <c r="F14" s="493">
        <f>'Données 2016 du GPE'!V75</f>
        <v>757252.23924600007</v>
      </c>
      <c r="G14" s="489">
        <f>826000</f>
        <v>826000</v>
      </c>
      <c r="H14" s="489">
        <v>863000</v>
      </c>
      <c r="I14" s="489">
        <v>875000</v>
      </c>
      <c r="J14" s="489">
        <v>1093000</v>
      </c>
      <c r="K14" s="413"/>
    </row>
    <row r="15" spans="2:11" s="3" customFormat="1" ht="42.9" customHeight="1" thickBot="1" x14ac:dyDescent="0.35">
      <c r="B15" s="539"/>
      <c r="C15" s="480" t="s">
        <v>135</v>
      </c>
      <c r="D15" s="486">
        <f>'Données 2016 du GPE'!I73-'Données 2016 du GPE'!I75</f>
        <v>35979</v>
      </c>
      <c r="E15" s="492">
        <f>'Données 2016 du GPE'!P73-'Données 2016 du GPE'!P75</f>
        <v>188.05268356436864</v>
      </c>
      <c r="F15" s="492">
        <v>17000</v>
      </c>
      <c r="G15" s="487">
        <f>102000</f>
        <v>102000</v>
      </c>
      <c r="H15" s="487">
        <v>205000</v>
      </c>
      <c r="I15" s="487">
        <v>243000</v>
      </c>
      <c r="J15" s="487">
        <v>289000</v>
      </c>
      <c r="K15" s="414"/>
    </row>
    <row r="16" spans="2:11" s="3" customFormat="1" ht="42.9" customHeight="1" x14ac:dyDescent="0.3">
      <c r="B16" s="540" t="s">
        <v>136</v>
      </c>
      <c r="C16" s="481" t="s">
        <v>137</v>
      </c>
      <c r="D16" s="510">
        <f t="shared" ref="D16:I16" si="3">IFERROR(D$13/D$9,"")</f>
        <v>0.17770142376240988</v>
      </c>
      <c r="E16" s="511">
        <f t="shared" si="3"/>
        <v>0.15919205806065675</v>
      </c>
      <c r="F16" s="511">
        <f t="shared" si="3"/>
        <v>0.21691706306864716</v>
      </c>
      <c r="G16" s="510">
        <f>IFERROR(G$13/G$9,"")</f>
        <v>0.21241014563590641</v>
      </c>
      <c r="H16" s="510">
        <f t="shared" si="3"/>
        <v>0.22507127307399494</v>
      </c>
      <c r="I16" s="510">
        <f t="shared" si="3"/>
        <v>0.22797344266079853</v>
      </c>
      <c r="J16" s="510">
        <f>IFERROR(J$13/J$9,"")</f>
        <v>0.22586460402251402</v>
      </c>
      <c r="K16" s="412"/>
    </row>
    <row r="17" spans="2:14" s="3" customFormat="1" ht="42.9" customHeight="1" x14ac:dyDescent="0.3">
      <c r="B17" s="541"/>
      <c r="C17" s="482" t="s">
        <v>138</v>
      </c>
      <c r="D17" s="510">
        <f>IFERROR(D$14/(D$10-D12),"")</f>
        <v>0.18677192453787778</v>
      </c>
      <c r="E17" s="511">
        <f>IFERROR(E$14/(E$10-E$12), "")</f>
        <v>0.18495136510261409</v>
      </c>
      <c r="F17" s="511">
        <f t="shared" ref="F17:J17" si="4">IFERROR(F$14/(F$10-F$12), "")</f>
        <v>0.23013687982845352</v>
      </c>
      <c r="G17" s="510">
        <f t="shared" si="4"/>
        <v>0.22187004754358161</v>
      </c>
      <c r="H17" s="510">
        <f>IFERROR(H$14/(H$10-H$12), "")</f>
        <v>0.21082347698970458</v>
      </c>
      <c r="I17" s="510">
        <f t="shared" si="4"/>
        <v>0.20618848219356267</v>
      </c>
      <c r="J17" s="510">
        <f t="shared" si="4"/>
        <v>0.20307597865714197</v>
      </c>
      <c r="K17" s="413"/>
    </row>
    <row r="18" spans="2:14" s="3" customFormat="1" ht="48" customHeight="1" thickBot="1" x14ac:dyDescent="0.35">
      <c r="B18" s="542"/>
      <c r="C18" s="483" t="s">
        <v>139</v>
      </c>
      <c r="D18" s="512">
        <f>IFERROR(D$15/D$11,"")</f>
        <v>9.728681751319547E-2</v>
      </c>
      <c r="E18" s="511">
        <f>IFERROR(E$15/E$11, "")</f>
        <v>3.2129859096058372E-4</v>
      </c>
      <c r="F18" s="511">
        <f t="shared" ref="F18:J18" si="5">IFERROR(F$15/F$11, "")</f>
        <v>6.0952858249115664E-2</v>
      </c>
      <c r="G18" s="510">
        <f t="shared" si="5"/>
        <v>0.15789322400308892</v>
      </c>
      <c r="H18" s="510">
        <f t="shared" si="5"/>
        <v>0.31456599613303826</v>
      </c>
      <c r="I18" s="510">
        <f t="shared" si="5"/>
        <v>0.36796438635347534</v>
      </c>
      <c r="J18" s="510">
        <f t="shared" si="5"/>
        <v>0.39240288992450811</v>
      </c>
      <c r="K18" s="414"/>
    </row>
    <row r="19" spans="2:14" ht="36" customHeight="1" thickBot="1" x14ac:dyDescent="0.4">
      <c r="B19" s="553" t="s">
        <v>140</v>
      </c>
      <c r="C19" s="554"/>
      <c r="D19" s="556"/>
      <c r="E19" s="556"/>
      <c r="F19" s="556"/>
      <c r="G19" s="556"/>
      <c r="H19" s="556"/>
      <c r="I19" s="556"/>
      <c r="J19" s="556"/>
      <c r="K19" s="554"/>
      <c r="L19" s="554"/>
      <c r="M19" s="554"/>
      <c r="N19" s="555"/>
    </row>
    <row r="20" spans="2:14" ht="75.900000000000006" customHeight="1" thickBot="1" x14ac:dyDescent="0.4">
      <c r="B20" s="545" t="s">
        <v>141</v>
      </c>
      <c r="C20" s="546"/>
      <c r="D20" s="513" t="s">
        <v>151</v>
      </c>
      <c r="E20" s="514"/>
      <c r="F20" s="514"/>
      <c r="G20" s="514"/>
      <c r="H20" s="514"/>
      <c r="I20" s="514"/>
      <c r="J20" s="514"/>
      <c r="K20" s="514"/>
      <c r="L20" s="514"/>
      <c r="M20" s="514"/>
      <c r="N20" s="515"/>
    </row>
    <row r="21" spans="2:14" ht="39" customHeight="1" thickBot="1" x14ac:dyDescent="0.4">
      <c r="B21" s="543" t="s">
        <v>142</v>
      </c>
      <c r="C21" s="544"/>
      <c r="D21" s="513" t="s">
        <v>153</v>
      </c>
      <c r="E21" s="514"/>
      <c r="F21" s="514"/>
      <c r="G21" s="514"/>
      <c r="H21" s="514"/>
      <c r="I21" s="514"/>
      <c r="J21" s="514"/>
      <c r="K21" s="514"/>
      <c r="L21" s="514"/>
      <c r="M21" s="514"/>
      <c r="N21" s="515"/>
    </row>
    <row r="22" spans="2:14" ht="77.099999999999994" customHeight="1" thickBot="1" x14ac:dyDescent="0.4">
      <c r="B22" s="523" t="s">
        <v>143</v>
      </c>
      <c r="C22" s="524"/>
      <c r="D22" s="513" t="s">
        <v>152</v>
      </c>
      <c r="E22" s="514"/>
      <c r="F22" s="514"/>
      <c r="G22" s="514"/>
      <c r="H22" s="514"/>
      <c r="I22" s="514"/>
      <c r="J22" s="514"/>
      <c r="K22" s="514"/>
      <c r="L22" s="514"/>
      <c r="M22" s="514"/>
      <c r="N22" s="515"/>
    </row>
    <row r="23" spans="2:14" ht="114" customHeight="1" thickBot="1" x14ac:dyDescent="0.4">
      <c r="B23" s="516" t="s">
        <v>144</v>
      </c>
      <c r="C23" s="517"/>
      <c r="D23" s="518" t="s">
        <v>154</v>
      </c>
      <c r="E23" s="519"/>
      <c r="F23" s="519"/>
      <c r="G23" s="519"/>
      <c r="H23" s="519"/>
      <c r="I23" s="519"/>
      <c r="J23" s="519"/>
      <c r="K23" s="520"/>
    </row>
    <row r="24" spans="2:14" ht="96" customHeight="1" thickBot="1" x14ac:dyDescent="0.4">
      <c r="B24" s="521" t="s">
        <v>145</v>
      </c>
      <c r="C24" s="522"/>
      <c r="D24" s="519" t="s">
        <v>154</v>
      </c>
      <c r="E24" s="519"/>
      <c r="F24" s="519"/>
      <c r="G24" s="519"/>
      <c r="H24" s="519"/>
      <c r="I24" s="519"/>
      <c r="J24" s="519"/>
      <c r="K24" s="520"/>
    </row>
    <row r="26" spans="2:14" ht="30.75" customHeight="1" x14ac:dyDescent="0.35">
      <c r="E26" s="558"/>
      <c r="F26" s="558"/>
    </row>
    <row r="27" spans="2:14" ht="24.75" customHeight="1" x14ac:dyDescent="0.35">
      <c r="E27" s="557"/>
      <c r="F27" s="557"/>
      <c r="G27" s="557"/>
      <c r="H27" s="557"/>
      <c r="I27" s="557"/>
      <c r="J27" s="557"/>
    </row>
    <row r="28" spans="2:14" ht="24.75" customHeight="1" x14ac:dyDescent="0.35">
      <c r="E28" s="557"/>
      <c r="F28" s="557"/>
      <c r="G28" s="557"/>
      <c r="H28" s="557"/>
      <c r="I28" s="557"/>
      <c r="J28" s="557"/>
    </row>
    <row r="29" spans="2:14" ht="35.25" customHeight="1" x14ac:dyDescent="0.35">
      <c r="E29" s="557"/>
      <c r="F29" s="557"/>
      <c r="G29" s="557"/>
      <c r="H29" s="557"/>
      <c r="I29" s="557"/>
      <c r="J29" s="557"/>
    </row>
    <row r="30" spans="2:14" ht="30.75" customHeight="1" x14ac:dyDescent="0.35">
      <c r="E30" s="557"/>
      <c r="F30" s="557"/>
      <c r="G30" s="557"/>
      <c r="H30" s="557"/>
      <c r="I30" s="557"/>
      <c r="J30" s="557"/>
    </row>
  </sheetData>
  <mergeCells count="24">
    <mergeCell ref="B24:C24"/>
    <mergeCell ref="D24:K24"/>
    <mergeCell ref="E27:J28"/>
    <mergeCell ref="E29:J30"/>
    <mergeCell ref="E26:F26"/>
    <mergeCell ref="B21:C21"/>
    <mergeCell ref="D21:N21"/>
    <mergeCell ref="B22:C22"/>
    <mergeCell ref="D22:N22"/>
    <mergeCell ref="B23:C23"/>
    <mergeCell ref="D23:K23"/>
    <mergeCell ref="B20:C20"/>
    <mergeCell ref="D20:N20"/>
    <mergeCell ref="B3:C3"/>
    <mergeCell ref="D3:J3"/>
    <mergeCell ref="B4:C4"/>
    <mergeCell ref="D5:F5"/>
    <mergeCell ref="D7:F7"/>
    <mergeCell ref="G7:J7"/>
    <mergeCell ref="K7:K8"/>
    <mergeCell ref="B9:B12"/>
    <mergeCell ref="B13:B15"/>
    <mergeCell ref="B16:B18"/>
    <mergeCell ref="B19:N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5"/>
  <sheetViews>
    <sheetView topLeftCell="K1" workbookViewId="0">
      <selection activeCell="F9" sqref="F9"/>
    </sheetView>
  </sheetViews>
  <sheetFormatPr defaultColWidth="8.8984375" defaultRowHeight="15.6" x14ac:dyDescent="0.3"/>
  <cols>
    <col min="2" max="2" width="11.59765625" customWidth="1"/>
    <col min="3" max="3" width="25.8984375" bestFit="1" customWidth="1"/>
    <col min="4" max="5" width="10.3984375" bestFit="1" customWidth="1"/>
    <col min="6" max="6" width="10.3984375" customWidth="1"/>
    <col min="8" max="8" width="4.09765625" customWidth="1"/>
    <col min="9" max="9" width="10.3984375" bestFit="1" customWidth="1"/>
    <col min="10" max="10" width="14.59765625" bestFit="1" customWidth="1"/>
    <col min="11" max="11" width="12" customWidth="1"/>
    <col min="12" max="12" width="9.59765625" bestFit="1" customWidth="1"/>
    <col min="13" max="13" width="12" bestFit="1" customWidth="1"/>
    <col min="14" max="16" width="10.3984375" bestFit="1" customWidth="1"/>
    <col min="18" max="18" width="5.5" customWidth="1"/>
    <col min="19" max="19" width="14" bestFit="1" customWidth="1"/>
    <col min="20" max="22" width="11.3984375" bestFit="1" customWidth="1"/>
  </cols>
  <sheetData>
    <row r="1" spans="2:22" ht="16.2" thickBot="1" x14ac:dyDescent="0.35"/>
    <row r="2" spans="2:22" ht="17.25" customHeight="1" thickTop="1" thickBot="1" x14ac:dyDescent="0.35">
      <c r="B2" s="427" t="s">
        <v>1</v>
      </c>
      <c r="C2" s="427" t="s">
        <v>112</v>
      </c>
      <c r="D2" s="559" t="s">
        <v>113</v>
      </c>
      <c r="E2" s="560"/>
      <c r="F2" s="560"/>
      <c r="G2" s="560"/>
      <c r="H2" s="561"/>
      <c r="I2" s="561"/>
      <c r="J2" s="561"/>
      <c r="K2" s="561"/>
      <c r="L2" s="561"/>
      <c r="M2" s="561"/>
      <c r="N2" s="561"/>
      <c r="O2" s="561"/>
      <c r="P2" s="561"/>
      <c r="Q2" s="561"/>
      <c r="R2" s="468"/>
      <c r="S2" s="428" t="s">
        <v>2</v>
      </c>
      <c r="T2" s="429"/>
      <c r="U2" s="429"/>
      <c r="V2" s="430"/>
    </row>
    <row r="3" spans="2:22" ht="17.25" customHeight="1" thickTop="1" thickBot="1" x14ac:dyDescent="0.35">
      <c r="B3" s="427"/>
      <c r="C3" s="432"/>
      <c r="D3" s="568">
        <v>2014</v>
      </c>
      <c r="E3" s="569"/>
      <c r="F3" s="569"/>
      <c r="G3" s="570"/>
      <c r="H3" s="461"/>
      <c r="I3" s="568">
        <v>2015</v>
      </c>
      <c r="J3" s="569"/>
      <c r="K3" s="569"/>
      <c r="L3" s="570"/>
      <c r="M3" s="461"/>
      <c r="N3" s="568">
        <v>2016</v>
      </c>
      <c r="O3" s="569"/>
      <c r="P3" s="569"/>
      <c r="Q3" s="569"/>
      <c r="R3" s="468"/>
      <c r="S3" s="462"/>
      <c r="T3" s="463"/>
      <c r="U3" s="463"/>
      <c r="V3" s="464"/>
    </row>
    <row r="4" spans="2:22" ht="16.8" thickTop="1" thickBot="1" x14ac:dyDescent="0.35">
      <c r="B4" s="431" t="s">
        <v>3</v>
      </c>
      <c r="C4" s="432" t="s">
        <v>114</v>
      </c>
      <c r="D4" s="465" t="s">
        <v>115</v>
      </c>
      <c r="E4" s="466" t="s">
        <v>116</v>
      </c>
      <c r="F4" s="466" t="s">
        <v>117</v>
      </c>
      <c r="G4" s="467" t="s">
        <v>118</v>
      </c>
      <c r="H4" s="433"/>
      <c r="I4" s="434" t="s">
        <v>115</v>
      </c>
      <c r="J4" s="435" t="s">
        <v>116</v>
      </c>
      <c r="K4" s="435" t="s">
        <v>117</v>
      </c>
      <c r="L4" s="436" t="s">
        <v>118</v>
      </c>
      <c r="M4" s="440" t="s">
        <v>119</v>
      </c>
      <c r="N4" s="437" t="s">
        <v>115</v>
      </c>
      <c r="O4" s="438" t="s">
        <v>116</v>
      </c>
      <c r="P4" s="438" t="s">
        <v>117</v>
      </c>
      <c r="Q4" s="439" t="s">
        <v>118</v>
      </c>
      <c r="R4" s="427"/>
      <c r="S4" s="441">
        <v>2017</v>
      </c>
      <c r="T4" s="442">
        <v>2018</v>
      </c>
      <c r="U4" s="442">
        <v>2019</v>
      </c>
      <c r="V4" s="443">
        <v>2020</v>
      </c>
    </row>
    <row r="5" spans="2:22" ht="54" customHeight="1" thickBot="1" x14ac:dyDescent="0.35">
      <c r="B5" s="562" t="s">
        <v>4</v>
      </c>
      <c r="C5" s="444" t="s">
        <v>5</v>
      </c>
      <c r="D5" s="445">
        <f>'Reconstitution GPE'!D9</f>
        <v>3648502</v>
      </c>
      <c r="E5" s="446">
        <f>3895000-E8</f>
        <v>3648200</v>
      </c>
      <c r="F5" s="446">
        <f>E5-D5</f>
        <v>-302</v>
      </c>
      <c r="G5" s="447">
        <f>F5/D5</f>
        <v>-8.2773697259861721E-5</v>
      </c>
      <c r="H5" s="448"/>
      <c r="I5" s="449">
        <f>'Reconstitution GPE'!E9</f>
        <v>4297862.927007</v>
      </c>
      <c r="J5" s="450">
        <f>J6+J7-J8</f>
        <v>3295482.32</v>
      </c>
      <c r="K5" s="450">
        <f>J5-I5</f>
        <v>-1002380.6070070001</v>
      </c>
      <c r="L5" s="451">
        <f>K5/I5</f>
        <v>-0.23322768176439973</v>
      </c>
      <c r="M5" s="455"/>
      <c r="N5" s="452">
        <f>'Reconstitution GPE'!F9</f>
        <v>3841794.1030000006</v>
      </c>
      <c r="O5" s="453">
        <f>O6+O7-O8</f>
        <v>4344033.92</v>
      </c>
      <c r="P5" s="453">
        <f>O5-N5</f>
        <v>502239.81699999934</v>
      </c>
      <c r="Q5" s="454">
        <f>P5/N5</f>
        <v>0.13073053982976537</v>
      </c>
      <c r="R5" s="427"/>
      <c r="S5" s="456">
        <f>S6+S7-S8</f>
        <v>4780774.4800000004</v>
      </c>
      <c r="T5" s="456">
        <f t="shared" ref="T5:V5" si="0">T6+T7-T8</f>
        <v>5382615.4800000004</v>
      </c>
      <c r="U5" s="456">
        <f t="shared" si="0"/>
        <v>6014230.4400000004</v>
      </c>
      <c r="V5" s="456">
        <f t="shared" si="0"/>
        <v>6628723.2799999993</v>
      </c>
    </row>
    <row r="6" spans="2:22" ht="57" customHeight="1" thickBot="1" x14ac:dyDescent="0.35">
      <c r="B6" s="563"/>
      <c r="C6" s="444" t="s">
        <v>6</v>
      </c>
      <c r="D6" s="445">
        <f>'Reconstitution GPE'!D10</f>
        <v>3525432</v>
      </c>
      <c r="E6" s="446">
        <v>3278700</v>
      </c>
      <c r="F6" s="446">
        <f t="shared" ref="F6:F11" si="1">E6-D6</f>
        <v>-246732</v>
      </c>
      <c r="G6" s="447">
        <f t="shared" ref="G6:G11" si="2">F6/D6</f>
        <v>-6.9986316570564963E-2</v>
      </c>
      <c r="H6" s="448"/>
      <c r="I6" s="449">
        <f>'Reconstitution GPE'!E10</f>
        <v>3996184.3838740001</v>
      </c>
      <c r="J6" s="450">
        <f>(4404*920)*0.869</f>
        <v>3520909.92</v>
      </c>
      <c r="K6" s="450">
        <f t="shared" ref="K6:K11" si="3">J6-I6</f>
        <v>-475274.46387400012</v>
      </c>
      <c r="L6" s="451">
        <f t="shared" ref="L6:L11" si="4">K6/I6</f>
        <v>-0.11893206574548927</v>
      </c>
      <c r="M6" s="455">
        <v>0.86899999999999999</v>
      </c>
      <c r="N6" s="452">
        <f>'Reconstitution GPE'!F10</f>
        <v>3853168.6370000006</v>
      </c>
      <c r="O6" s="453">
        <f>(5166*920)*0.869</f>
        <v>4130113.68</v>
      </c>
      <c r="P6" s="453">
        <f t="shared" ref="P6:P11" si="5">O6-N6</f>
        <v>276945.0429999996</v>
      </c>
      <c r="Q6" s="454">
        <f t="shared" ref="Q6:Q11" si="6">P6/N6</f>
        <v>7.1874622963718354E-2</v>
      </c>
      <c r="R6" s="427"/>
      <c r="S6" s="456">
        <f>5686*920*0.869</f>
        <v>4545843.28</v>
      </c>
      <c r="T6" s="457">
        <f>6411*920*0.869</f>
        <v>5125466.28</v>
      </c>
      <c r="U6" s="457">
        <f>7173*920*0.869</f>
        <v>5734670.04</v>
      </c>
      <c r="V6" s="458">
        <f>7916*920*0.869</f>
        <v>6328683.6799999997</v>
      </c>
    </row>
    <row r="7" spans="2:22" ht="36" customHeight="1" thickBot="1" x14ac:dyDescent="0.35">
      <c r="B7" s="563"/>
      <c r="C7" s="444" t="s">
        <v>7</v>
      </c>
      <c r="D7" s="445">
        <f>'Reconstitution GPE'!D11</f>
        <v>369824</v>
      </c>
      <c r="E7" s="446">
        <v>369800</v>
      </c>
      <c r="F7" s="446">
        <f t="shared" si="1"/>
        <v>-24</v>
      </c>
      <c r="G7" s="447">
        <f t="shared" si="2"/>
        <v>-6.4895734187072772E-5</v>
      </c>
      <c r="H7" s="448"/>
      <c r="I7" s="449">
        <f>'Reconstitution GPE'!E11</f>
        <v>585289.47482200002</v>
      </c>
      <c r="J7" s="450">
        <f>(457*920)*0.21</f>
        <v>88292.4</v>
      </c>
      <c r="K7" s="450">
        <f t="shared" si="3"/>
        <v>-496997.074822</v>
      </c>
      <c r="L7" s="451">
        <f t="shared" si="4"/>
        <v>-0.84914746668415353</v>
      </c>
      <c r="M7" s="455">
        <v>0.21099999999999999</v>
      </c>
      <c r="N7" s="452">
        <f>'Reconstitution GPE'!F11</f>
        <v>278904.06599999999</v>
      </c>
      <c r="O7" s="453">
        <f>(1102*920)*0.211</f>
        <v>213920.24</v>
      </c>
      <c r="P7" s="453">
        <f t="shared" si="5"/>
        <v>-64983.826000000001</v>
      </c>
      <c r="Q7" s="454">
        <f t="shared" si="6"/>
        <v>-0.23299705498018808</v>
      </c>
      <c r="R7" s="427"/>
      <c r="S7" s="456">
        <f>1216*920*0.21</f>
        <v>234931.19999999998</v>
      </c>
      <c r="T7" s="457">
        <f>1331*920*0.21</f>
        <v>257149.19999999998</v>
      </c>
      <c r="U7" s="457">
        <f>1447*920*0.21</f>
        <v>279560.39999999997</v>
      </c>
      <c r="V7" s="458">
        <f>1553*920*0.21</f>
        <v>300039.59999999998</v>
      </c>
    </row>
    <row r="8" spans="2:22" ht="27" customHeight="1" thickBot="1" x14ac:dyDescent="0.35">
      <c r="B8" s="564"/>
      <c r="C8" s="444" t="s">
        <v>8</v>
      </c>
      <c r="D8" s="445">
        <f>'Reconstitution GPE'!D12</f>
        <v>246754</v>
      </c>
      <c r="E8" s="446">
        <v>246800</v>
      </c>
      <c r="F8" s="446">
        <f t="shared" si="1"/>
        <v>46</v>
      </c>
      <c r="G8" s="447">
        <f t="shared" si="2"/>
        <v>1.8642048355852386E-4</v>
      </c>
      <c r="H8" s="448"/>
      <c r="I8" s="449">
        <f>'Reconstitution GPE'!E12</f>
        <v>283610.93168899999</v>
      </c>
      <c r="J8" s="450">
        <f>341*920</f>
        <v>313720</v>
      </c>
      <c r="K8" s="450">
        <f t="shared" si="3"/>
        <v>30109.06831100001</v>
      </c>
      <c r="L8" s="451">
        <f t="shared" si="4"/>
        <v>0.10616328549710768</v>
      </c>
      <c r="M8" s="455"/>
      <c r="N8" s="452">
        <f>'Reconstitution GPE'!F12</f>
        <v>290278.59999999998</v>
      </c>
      <c r="O8" s="453"/>
      <c r="P8" s="453"/>
      <c r="Q8" s="454"/>
      <c r="R8" s="427"/>
      <c r="S8" s="456"/>
      <c r="T8" s="457"/>
      <c r="U8" s="457"/>
      <c r="V8" s="458"/>
    </row>
    <row r="9" spans="2:22" ht="54" customHeight="1" thickBot="1" x14ac:dyDescent="0.35">
      <c r="B9" s="565" t="s">
        <v>9</v>
      </c>
      <c r="C9" s="459" t="s">
        <v>10</v>
      </c>
      <c r="D9" s="445">
        <f>'Reconstitution GPE'!D13</f>
        <v>648344</v>
      </c>
      <c r="E9" s="446">
        <v>648300</v>
      </c>
      <c r="F9" s="446">
        <f t="shared" si="1"/>
        <v>-44</v>
      </c>
      <c r="G9" s="447">
        <f t="shared" si="2"/>
        <v>-6.7865207359056305E-5</v>
      </c>
      <c r="H9" s="448"/>
      <c r="I9" s="449">
        <f>'Reconstitution GPE'!E13</f>
        <v>667821.44676937396</v>
      </c>
      <c r="J9" s="450">
        <f>J10+J11</f>
        <v>657285.72</v>
      </c>
      <c r="K9" s="450">
        <f t="shared" si="3"/>
        <v>-10535.726769373985</v>
      </c>
      <c r="L9" s="451">
        <f t="shared" si="4"/>
        <v>-1.5776262982180628E-2</v>
      </c>
      <c r="M9" s="455"/>
      <c r="N9" s="452">
        <f>'Reconstitution GPE'!F13</f>
        <v>778440.117096</v>
      </c>
      <c r="O9" s="453">
        <f>O10+O11</f>
        <v>787597.37199999997</v>
      </c>
      <c r="P9" s="453">
        <f t="shared" si="5"/>
        <v>9157.2549039999722</v>
      </c>
      <c r="Q9" s="454">
        <f t="shared" si="6"/>
        <v>1.1763595815387129E-2</v>
      </c>
      <c r="R9" s="427"/>
      <c r="S9" s="456">
        <f>S10+S11</f>
        <v>884117.60799999989</v>
      </c>
      <c r="T9" s="457">
        <f>T10+T11</f>
        <v>1004172.088</v>
      </c>
      <c r="U9" s="457">
        <f>U10+U11</f>
        <v>1125974.4759999998</v>
      </c>
      <c r="V9" s="458">
        <f>V10+V11</f>
        <v>1251158.8760000002</v>
      </c>
    </row>
    <row r="10" spans="2:22" ht="36.75" customHeight="1" thickBot="1" x14ac:dyDescent="0.35">
      <c r="B10" s="566"/>
      <c r="C10" s="459" t="s">
        <v>11</v>
      </c>
      <c r="D10" s="445">
        <f>'Reconstitution GPE'!D14</f>
        <v>612365</v>
      </c>
      <c r="E10" s="446">
        <v>612300</v>
      </c>
      <c r="F10" s="446">
        <f t="shared" si="1"/>
        <v>-65</v>
      </c>
      <c r="G10" s="447">
        <f t="shared" si="2"/>
        <v>-1.0614584439019212E-4</v>
      </c>
      <c r="H10" s="448"/>
      <c r="I10" s="449">
        <f>'Reconstitution GPE'!E14</f>
        <v>667633.39408580959</v>
      </c>
      <c r="J10" s="450">
        <f>(824*920)*0.861</f>
        <v>652706.88</v>
      </c>
      <c r="K10" s="450">
        <f t="shared" si="3"/>
        <v>-14926.514085809584</v>
      </c>
      <c r="L10" s="451">
        <f t="shared" si="4"/>
        <v>-2.2357350932465651E-2</v>
      </c>
      <c r="M10" s="455">
        <v>0.86099999999999999</v>
      </c>
      <c r="N10" s="452">
        <f>'Reconstitution GPE'!F14</f>
        <v>757252.23924600007</v>
      </c>
      <c r="O10" s="453">
        <f>(965.7*920)*0.861</f>
        <v>764950.28399999999</v>
      </c>
      <c r="P10" s="453">
        <f t="shared" si="5"/>
        <v>7698.044753999915</v>
      </c>
      <c r="Q10" s="454">
        <f t="shared" si="6"/>
        <v>1.0165760304208406E-2</v>
      </c>
      <c r="R10" s="427"/>
      <c r="S10" s="456">
        <f>(1085.6*920)*0.86</f>
        <v>858926.71999999986</v>
      </c>
      <c r="T10" s="457">
        <f>(1235.5*920)*0.86</f>
        <v>977527.6</v>
      </c>
      <c r="U10" s="457">
        <f>(1387.6*920)*0.86</f>
        <v>1097869.1199999999</v>
      </c>
      <c r="V10" s="458">
        <f>1543.8*920*0.86</f>
        <v>1221454.56</v>
      </c>
    </row>
    <row r="11" spans="2:22" ht="42.75" customHeight="1" thickBot="1" x14ac:dyDescent="0.35">
      <c r="B11" s="567"/>
      <c r="C11" s="459" t="s">
        <v>12</v>
      </c>
      <c r="D11" s="445">
        <f>'Reconstitution GPE'!D15</f>
        <v>35979</v>
      </c>
      <c r="E11" s="446">
        <v>35900</v>
      </c>
      <c r="F11" s="446">
        <f t="shared" si="1"/>
        <v>-79</v>
      </c>
      <c r="G11" s="447">
        <f t="shared" si="2"/>
        <v>-2.1957252841935575E-3</v>
      </c>
      <c r="H11" s="460"/>
      <c r="I11" s="449">
        <f>'Reconstitution GPE'!E15</f>
        <v>188.05268356436864</v>
      </c>
      <c r="J11" s="450">
        <f>(63*920)*0.079</f>
        <v>4578.84</v>
      </c>
      <c r="K11" s="450">
        <f t="shared" si="3"/>
        <v>4390.7873164356315</v>
      </c>
      <c r="L11" s="451">
        <f t="shared" si="4"/>
        <v>23.348708634262628</v>
      </c>
      <c r="M11" s="455">
        <v>7.9000000000000001E-2</v>
      </c>
      <c r="N11" s="452">
        <f>'Reconstitution GPE'!F15</f>
        <v>21187.877849999932</v>
      </c>
      <c r="O11" s="453">
        <f>(311.6*920)*0.079</f>
        <v>22647.088</v>
      </c>
      <c r="P11" s="453">
        <f t="shared" si="5"/>
        <v>1459.2101500000681</v>
      </c>
      <c r="Q11" s="454">
        <f t="shared" si="6"/>
        <v>6.8870047313401558E-2</v>
      </c>
      <c r="R11" s="427"/>
      <c r="S11" s="456">
        <f>(346.6*920)*0.079</f>
        <v>25190.887999999999</v>
      </c>
      <c r="T11" s="457">
        <f>(366.6*920)*0.079</f>
        <v>26644.488000000001</v>
      </c>
      <c r="U11" s="457">
        <f>(386.7*920)*0.079</f>
        <v>28105.356</v>
      </c>
      <c r="V11" s="458">
        <f>(408.7*920)*0.079</f>
        <v>29704.315999999999</v>
      </c>
    </row>
    <row r="14" spans="2:22" x14ac:dyDescent="0.3">
      <c r="B14" t="s">
        <v>120</v>
      </c>
    </row>
    <row r="15" spans="2:22" x14ac:dyDescent="0.3">
      <c r="B15" t="s">
        <v>121</v>
      </c>
    </row>
  </sheetData>
  <sheetProtection password="DF4A" sheet="1" objects="1" scenarios="1"/>
  <mergeCells count="6">
    <mergeCell ref="D2:Q2"/>
    <mergeCell ref="B5:B8"/>
    <mergeCell ref="B9:B11"/>
    <mergeCell ref="D3:G3"/>
    <mergeCell ref="I3:L3"/>
    <mergeCell ref="N3:Q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02"/>
  <sheetViews>
    <sheetView zoomScale="70" zoomScaleNormal="70" workbookViewId="0">
      <selection activeCell="B17" sqref="A17:XFD17"/>
    </sheetView>
  </sheetViews>
  <sheetFormatPr defaultColWidth="8" defaultRowHeight="14.4" x14ac:dyDescent="0.3"/>
  <cols>
    <col min="1" max="1" width="5.8984375" style="52" customWidth="1"/>
    <col min="2" max="2" width="17" style="59" customWidth="1"/>
    <col min="3" max="3" width="17" style="58" customWidth="1"/>
    <col min="4" max="4" width="4.09765625" style="57" customWidth="1"/>
    <col min="5" max="5" width="1.5" style="53" customWidth="1"/>
    <col min="6" max="6" width="19" style="56" customWidth="1"/>
    <col min="7" max="7" width="1.5" style="53" customWidth="1"/>
    <col min="8" max="9" width="19" style="55" customWidth="1"/>
    <col min="10" max="10" width="7.59765625" style="54" customWidth="1"/>
    <col min="11" max="11" width="1.5" style="53" customWidth="1"/>
    <col min="12" max="13" width="19" style="52" customWidth="1"/>
    <col min="14" max="14" width="1.5" style="53" customWidth="1"/>
    <col min="15" max="17" width="19" style="52" customWidth="1"/>
    <col min="18" max="18" width="9" style="52" customWidth="1"/>
    <col min="19" max="19" width="1.5" style="53" customWidth="1"/>
    <col min="20" max="22" width="19" style="52" customWidth="1"/>
    <col min="23" max="23" width="1.5" style="53" customWidth="1"/>
    <col min="24" max="24" width="48.09765625" style="52" customWidth="1"/>
    <col min="25" max="27" width="8" style="52"/>
    <col min="28" max="28" width="9.5" style="52" customWidth="1"/>
    <col min="29" max="29" width="9.3984375" style="52" customWidth="1"/>
    <col min="30" max="16384" width="8" style="52"/>
  </cols>
  <sheetData>
    <row r="1" spans="1:24" ht="31.2" x14ac:dyDescent="0.6">
      <c r="F1" s="571" t="s">
        <v>13</v>
      </c>
      <c r="G1" s="572"/>
      <c r="H1" s="572"/>
      <c r="I1" s="572"/>
      <c r="J1" s="572"/>
      <c r="K1" s="572"/>
      <c r="L1" s="572"/>
      <c r="M1" s="573"/>
      <c r="N1" s="401"/>
      <c r="O1" s="574" t="s">
        <v>14</v>
      </c>
      <c r="P1" s="575"/>
      <c r="Q1" s="575"/>
      <c r="R1" s="575"/>
      <c r="S1" s="575"/>
      <c r="T1" s="575"/>
      <c r="U1" s="575"/>
      <c r="V1" s="575"/>
    </row>
    <row r="2" spans="1:24" ht="21" x14ac:dyDescent="0.4">
      <c r="B2" s="58" t="s">
        <v>15</v>
      </c>
      <c r="C2" s="400" t="s">
        <v>16</v>
      </c>
      <c r="H2" s="52"/>
    </row>
    <row r="4" spans="1:24" s="396" customFormat="1" ht="15" customHeight="1" x14ac:dyDescent="0.3">
      <c r="D4" s="399"/>
      <c r="E4" s="397"/>
      <c r="F4" s="398" t="s">
        <v>17</v>
      </c>
      <c r="G4" s="397"/>
      <c r="H4" s="576" t="s">
        <v>18</v>
      </c>
      <c r="I4" s="577"/>
      <c r="J4" s="578"/>
      <c r="K4" s="397"/>
      <c r="L4" s="576" t="s">
        <v>19</v>
      </c>
      <c r="M4" s="578"/>
      <c r="N4" s="397"/>
      <c r="O4" s="579" t="s">
        <v>20</v>
      </c>
      <c r="P4" s="579"/>
      <c r="Q4" s="579"/>
      <c r="R4" s="579"/>
      <c r="S4" s="397"/>
      <c r="T4" s="580" t="s">
        <v>19</v>
      </c>
      <c r="U4" s="580"/>
      <c r="V4" s="580"/>
      <c r="W4" s="397"/>
      <c r="X4" s="587" t="s">
        <v>21</v>
      </c>
    </row>
    <row r="5" spans="1:24" x14ac:dyDescent="0.3">
      <c r="B5" s="58" t="s">
        <v>22</v>
      </c>
      <c r="C5" s="395">
        <v>2012</v>
      </c>
      <c r="F5" s="394">
        <v>2012</v>
      </c>
      <c r="G5" s="393"/>
      <c r="H5" s="589">
        <v>2014</v>
      </c>
      <c r="I5" s="590"/>
      <c r="J5" s="591"/>
      <c r="K5" s="393"/>
      <c r="L5" s="589">
        <v>2015</v>
      </c>
      <c r="M5" s="591"/>
      <c r="O5" s="589">
        <v>2015</v>
      </c>
      <c r="P5" s="590"/>
      <c r="Q5" s="590"/>
      <c r="R5" s="591"/>
      <c r="T5" s="592">
        <v>2016</v>
      </c>
      <c r="U5" s="593"/>
      <c r="V5" s="594"/>
      <c r="X5" s="588"/>
    </row>
    <row r="6" spans="1:24" x14ac:dyDescent="0.3">
      <c r="B6" s="52"/>
      <c r="C6" s="52"/>
      <c r="F6" s="55"/>
      <c r="L6" s="392"/>
      <c r="O6" s="60"/>
      <c r="P6" s="60"/>
      <c r="Q6" s="60"/>
      <c r="R6" s="60"/>
      <c r="T6" s="62"/>
      <c r="U6" s="62"/>
      <c r="V6" s="62"/>
      <c r="X6" s="55"/>
    </row>
    <row r="7" spans="1:24" ht="12.75" customHeight="1" x14ac:dyDescent="0.3">
      <c r="B7" s="58" t="s">
        <v>23</v>
      </c>
      <c r="C7" s="391" t="s">
        <v>24</v>
      </c>
      <c r="D7" s="57" t="s">
        <v>25</v>
      </c>
      <c r="F7" s="390"/>
      <c r="H7" s="595" t="s">
        <v>26</v>
      </c>
      <c r="I7" s="595"/>
      <c r="J7" s="596" t="s">
        <v>27</v>
      </c>
      <c r="L7" s="595" t="s">
        <v>26</v>
      </c>
      <c r="M7" s="595"/>
      <c r="O7" s="598" t="s">
        <v>26</v>
      </c>
      <c r="P7" s="599"/>
      <c r="Q7" s="599"/>
      <c r="R7" s="600"/>
      <c r="T7" s="601" t="s">
        <v>26</v>
      </c>
      <c r="U7" s="602"/>
      <c r="V7" s="603"/>
      <c r="X7" s="196"/>
    </row>
    <row r="8" spans="1:24" x14ac:dyDescent="0.3">
      <c r="B8" s="58" t="s">
        <v>28</v>
      </c>
      <c r="C8" s="389" t="s">
        <v>29</v>
      </c>
      <c r="F8" s="387" t="s">
        <v>30</v>
      </c>
      <c r="H8" s="388" t="s">
        <v>31</v>
      </c>
      <c r="I8" s="387" t="s">
        <v>30</v>
      </c>
      <c r="J8" s="597"/>
      <c r="L8" s="388" t="s">
        <v>31</v>
      </c>
      <c r="M8" s="387" t="s">
        <v>30</v>
      </c>
      <c r="O8" s="386" t="s">
        <v>32</v>
      </c>
      <c r="P8" s="386" t="s">
        <v>33</v>
      </c>
      <c r="Q8" s="386" t="s">
        <v>34</v>
      </c>
      <c r="R8" s="386"/>
      <c r="T8" s="385" t="s">
        <v>32</v>
      </c>
      <c r="U8" s="385" t="s">
        <v>34</v>
      </c>
      <c r="V8" s="385" t="s">
        <v>35</v>
      </c>
      <c r="X8" s="172"/>
    </row>
    <row r="9" spans="1:24" x14ac:dyDescent="0.3">
      <c r="C9" s="59"/>
      <c r="E9" s="166"/>
      <c r="F9" s="52"/>
      <c r="G9" s="166"/>
      <c r="H9" s="52"/>
      <c r="I9" s="52"/>
      <c r="J9" s="384"/>
      <c r="K9" s="166"/>
      <c r="N9" s="166"/>
      <c r="S9" s="166"/>
      <c r="T9" s="383"/>
      <c r="U9" s="383"/>
      <c r="V9" s="383"/>
      <c r="W9" s="166"/>
    </row>
    <row r="10" spans="1:24" ht="72" x14ac:dyDescent="0.3">
      <c r="A10" s="581" t="s">
        <v>36</v>
      </c>
      <c r="B10" s="289"/>
      <c r="C10" s="288" t="s">
        <v>37</v>
      </c>
      <c r="D10" s="382" t="s">
        <v>38</v>
      </c>
      <c r="E10" s="281"/>
      <c r="F10" s="378" t="s">
        <v>39</v>
      </c>
      <c r="G10" s="166"/>
      <c r="H10" s="378" t="s">
        <v>40</v>
      </c>
      <c r="I10" s="378" t="s">
        <v>40</v>
      </c>
      <c r="J10" s="379"/>
      <c r="K10" s="377"/>
      <c r="L10" s="378" t="s">
        <v>41</v>
      </c>
      <c r="M10" s="381" t="s">
        <v>42</v>
      </c>
      <c r="N10" s="377"/>
      <c r="O10" s="378" t="s">
        <v>43</v>
      </c>
      <c r="P10" s="378" t="s">
        <v>44</v>
      </c>
      <c r="Q10" s="380"/>
      <c r="R10" s="379" t="s">
        <v>45</v>
      </c>
      <c r="S10" s="377"/>
      <c r="T10" s="378" t="s">
        <v>46</v>
      </c>
      <c r="U10" s="378"/>
      <c r="V10" s="378" t="s">
        <v>47</v>
      </c>
      <c r="W10" s="377"/>
      <c r="X10" s="280"/>
    </row>
    <row r="11" spans="1:24" ht="12.75" customHeight="1" x14ac:dyDescent="0.3">
      <c r="A11" s="582"/>
      <c r="B11" s="376" t="s">
        <v>48</v>
      </c>
      <c r="C11" s="375"/>
      <c r="D11" s="374"/>
      <c r="E11" s="348"/>
      <c r="F11" s="373"/>
      <c r="G11" s="166"/>
      <c r="H11" s="369"/>
      <c r="I11" s="371"/>
      <c r="J11" s="370"/>
      <c r="K11" s="372"/>
      <c r="L11" s="369"/>
      <c r="M11" s="163"/>
      <c r="N11" s="367"/>
      <c r="O11" s="369"/>
      <c r="P11" s="371"/>
      <c r="Q11" s="166"/>
      <c r="R11" s="370"/>
      <c r="S11" s="367"/>
      <c r="T11" s="369"/>
      <c r="U11" s="166"/>
      <c r="V11" s="368"/>
      <c r="W11" s="367"/>
      <c r="X11" s="196"/>
    </row>
    <row r="12" spans="1:24" x14ac:dyDescent="0.3">
      <c r="A12" s="582"/>
      <c r="B12" s="366"/>
      <c r="C12" s="365" t="s">
        <v>49</v>
      </c>
      <c r="D12" s="189"/>
      <c r="F12" s="188"/>
      <c r="G12" s="166"/>
      <c r="H12" s="184">
        <v>5480395.169919</v>
      </c>
      <c r="I12" s="183"/>
      <c r="J12" s="218">
        <f>IF(H12=0,0,I12/H12)</f>
        <v>0</v>
      </c>
      <c r="K12" s="364"/>
      <c r="L12" s="184">
        <v>6004190.4587939996</v>
      </c>
      <c r="M12" s="363">
        <f>L12*J12</f>
        <v>0</v>
      </c>
      <c r="N12" s="354"/>
      <c r="O12" s="184">
        <v>6004190.4587939996</v>
      </c>
      <c r="P12" s="183">
        <v>4566718.8509259997</v>
      </c>
      <c r="Q12" s="167"/>
      <c r="R12" s="218">
        <f>IF(O12=0,0,P12/O12)</f>
        <v>0.76058860595226185</v>
      </c>
      <c r="S12" s="354"/>
      <c r="T12" s="184">
        <v>5791241.0370840002</v>
      </c>
      <c r="U12" s="167"/>
      <c r="V12" s="361">
        <f>R12*T12</f>
        <v>4404751.9471292505</v>
      </c>
      <c r="W12" s="354"/>
      <c r="X12" s="182"/>
    </row>
    <row r="13" spans="1:24" x14ac:dyDescent="0.3">
      <c r="A13" s="582"/>
      <c r="B13" s="366"/>
      <c r="C13" s="365" t="s">
        <v>50</v>
      </c>
      <c r="D13" s="189"/>
      <c r="F13" s="188"/>
      <c r="G13" s="166"/>
      <c r="H13" s="184">
        <v>1968609.176</v>
      </c>
      <c r="I13" s="183"/>
      <c r="J13" s="362">
        <f>IF(H13=0,0,I13/H13)</f>
        <v>0</v>
      </c>
      <c r="K13" s="364"/>
      <c r="L13" s="184">
        <v>1582028.5046339999</v>
      </c>
      <c r="M13" s="363">
        <f>L13*J13</f>
        <v>0</v>
      </c>
      <c r="N13" s="354"/>
      <c r="O13" s="184">
        <v>1582028.5046339999</v>
      </c>
      <c r="P13" s="183">
        <v>394810.84244099999</v>
      </c>
      <c r="Q13" s="167"/>
      <c r="R13" s="362">
        <f>IF(O13=0,0,P13/O13)</f>
        <v>0.24955987915801739</v>
      </c>
      <c r="S13" s="354"/>
      <c r="T13" s="184">
        <v>1413856.7551899999</v>
      </c>
      <c r="U13" s="167"/>
      <c r="V13" s="361">
        <f>R13*T13</f>
        <v>352841.92097196297</v>
      </c>
      <c r="W13" s="354"/>
      <c r="X13" s="182"/>
    </row>
    <row r="14" spans="1:24" x14ac:dyDescent="0.3">
      <c r="A14" s="582"/>
      <c r="B14" s="360"/>
      <c r="C14" s="359" t="s">
        <v>51</v>
      </c>
      <c r="D14" s="179"/>
      <c r="F14" s="178"/>
      <c r="G14" s="166"/>
      <c r="H14" s="174">
        <f>SUM(H12:H13)</f>
        <v>7449004.345919</v>
      </c>
      <c r="I14" s="174">
        <f>SUM(I12:I13)</f>
        <v>0</v>
      </c>
      <c r="J14" s="356">
        <f>IF(H14=0,0,I14/H14)</f>
        <v>0</v>
      </c>
      <c r="K14" s="358"/>
      <c r="L14" s="174">
        <f>SUM(L12:L13)</f>
        <v>7586218.963428</v>
      </c>
      <c r="M14" s="357">
        <f>L14*J14</f>
        <v>0</v>
      </c>
      <c r="N14" s="354"/>
      <c r="O14" s="174">
        <f>SUM(O12:O13)</f>
        <v>7586218.963428</v>
      </c>
      <c r="P14" s="174">
        <f>SUM(P12:P13)</f>
        <v>4961529.6933669997</v>
      </c>
      <c r="Q14" s="167"/>
      <c r="R14" s="356">
        <f>IF(O14=0,0,P14/O14)</f>
        <v>0.65401878291224846</v>
      </c>
      <c r="S14" s="354"/>
      <c r="T14" s="174">
        <f>SUM(T12:T13)</f>
        <v>7205097.7922740001</v>
      </c>
      <c r="U14" s="167"/>
      <c r="V14" s="355">
        <f>SUM(V12:V13)</f>
        <v>4757593.8681012131</v>
      </c>
      <c r="W14" s="354"/>
      <c r="X14" s="172"/>
    </row>
    <row r="15" spans="1:24" x14ac:dyDescent="0.3">
      <c r="A15" s="582"/>
      <c r="B15" s="353" t="s">
        <v>52</v>
      </c>
      <c r="C15" s="333"/>
      <c r="D15" s="287"/>
      <c r="E15" s="348"/>
      <c r="F15" s="352"/>
      <c r="G15" s="166"/>
      <c r="H15" s="159" t="s">
        <v>53</v>
      </c>
      <c r="I15" s="157"/>
      <c r="J15" s="350"/>
      <c r="K15" s="348"/>
      <c r="L15" s="159"/>
      <c r="M15" s="351"/>
      <c r="N15" s="348"/>
      <c r="O15" s="159"/>
      <c r="P15" s="157"/>
      <c r="Q15" s="243"/>
      <c r="R15" s="350"/>
      <c r="S15" s="348"/>
      <c r="T15" s="159"/>
      <c r="U15" s="349" t="s">
        <v>54</v>
      </c>
      <c r="V15" s="157"/>
      <c r="W15" s="348"/>
      <c r="X15" s="196"/>
    </row>
    <row r="16" spans="1:24" x14ac:dyDescent="0.3">
      <c r="A16" s="582"/>
      <c r="B16" s="140"/>
      <c r="C16" s="324" t="s">
        <v>55</v>
      </c>
      <c r="D16" s="323"/>
      <c r="F16" s="241">
        <v>2626921</v>
      </c>
      <c r="G16" s="166"/>
      <c r="H16" s="240">
        <v>4233000</v>
      </c>
      <c r="I16" s="235">
        <v>3278678</v>
      </c>
      <c r="J16" s="218">
        <f>IF(H16=0,0,I16/H16)</f>
        <v>0.77455185447673047</v>
      </c>
      <c r="L16" s="240">
        <v>4476030</v>
      </c>
      <c r="M16" s="341">
        <f>L16*J16</f>
        <v>3466917.3371934798</v>
      </c>
      <c r="O16" s="240">
        <f>1821579.445853+1125899.56263+1325064.43046</f>
        <v>4272543.4389430005</v>
      </c>
      <c r="P16" s="235">
        <f>1976739.959748+613937.940657+1121895.55178</f>
        <v>3712573.4521850003</v>
      </c>
      <c r="Q16" s="243"/>
      <c r="R16" s="218">
        <f>IF(O16=0,0,P16/O16)</f>
        <v>0.86893755563629027</v>
      </c>
      <c r="T16" s="239">
        <f>5947471.597-SUM(T17:T20)</f>
        <v>4251961.3908000002</v>
      </c>
      <c r="U16" s="335"/>
      <c r="V16" s="234">
        <f>4132072.703-SUM(V17:V20)</f>
        <v>3562890.0370000005</v>
      </c>
      <c r="X16" s="182"/>
    </row>
    <row r="17" spans="1:24" x14ac:dyDescent="0.3">
      <c r="A17" s="582"/>
      <c r="B17" s="140"/>
      <c r="C17" s="324" t="s">
        <v>56</v>
      </c>
      <c r="D17" s="323"/>
      <c r="F17" s="241">
        <v>662199</v>
      </c>
      <c r="G17" s="166"/>
      <c r="H17" s="240">
        <v>2846937</v>
      </c>
      <c r="I17" s="235">
        <v>369824</v>
      </c>
      <c r="J17" s="346">
        <f>IF(H17=0,0,I17/H17)</f>
        <v>0.12990241793197391</v>
      </c>
      <c r="K17" s="347"/>
      <c r="L17" s="240">
        <v>2768887</v>
      </c>
      <c r="M17" s="341">
        <f>L17*J17</f>
        <v>359685.11628040945</v>
      </c>
      <c r="O17" s="240">
        <v>2768887</v>
      </c>
      <c r="P17" s="235">
        <v>585289.47482200002</v>
      </c>
      <c r="Q17" s="243"/>
      <c r="R17" s="346">
        <f>IF(O17=0,0,P17/O17)</f>
        <v>0.21138077314892231</v>
      </c>
      <c r="T17" s="239">
        <f>831603.652+483937.1</f>
        <v>1315540.7519999999</v>
      </c>
      <c r="U17" s="335"/>
      <c r="V17" s="234">
        <f>165778.446+113125.62</f>
        <v>278904.06599999999</v>
      </c>
      <c r="X17" s="182"/>
    </row>
    <row r="18" spans="1:24" x14ac:dyDescent="0.3">
      <c r="A18" s="582"/>
      <c r="B18" s="140"/>
      <c r="C18" s="324"/>
      <c r="D18" s="323"/>
      <c r="F18" s="345"/>
      <c r="G18" s="166"/>
      <c r="H18" s="344"/>
      <c r="I18" s="343"/>
      <c r="J18" s="218"/>
      <c r="L18" s="344"/>
      <c r="M18" s="341"/>
      <c r="O18" s="344"/>
      <c r="P18" s="343"/>
      <c r="Q18" s="243"/>
      <c r="R18" s="218"/>
      <c r="T18" s="266"/>
      <c r="U18" s="335"/>
      <c r="V18" s="265"/>
      <c r="X18" s="182"/>
    </row>
    <row r="19" spans="1:24" x14ac:dyDescent="0.3">
      <c r="A19" s="582"/>
      <c r="B19" s="140"/>
      <c r="C19" s="324"/>
      <c r="D19" s="323"/>
      <c r="F19" s="345"/>
      <c r="G19" s="166"/>
      <c r="H19" s="344"/>
      <c r="I19" s="343"/>
      <c r="J19" s="218"/>
      <c r="L19" s="344"/>
      <c r="M19" s="341"/>
      <c r="O19" s="344"/>
      <c r="P19" s="343"/>
      <c r="Q19" s="243"/>
      <c r="R19" s="218"/>
      <c r="T19" s="266">
        <v>78325.328200000004</v>
      </c>
      <c r="U19" s="339" t="s">
        <v>57</v>
      </c>
      <c r="V19" s="265">
        <v>60076</v>
      </c>
      <c r="X19" s="182"/>
    </row>
    <row r="20" spans="1:24" x14ac:dyDescent="0.3">
      <c r="A20" s="582"/>
      <c r="B20" s="140"/>
      <c r="C20" s="324" t="s">
        <v>58</v>
      </c>
      <c r="D20" s="323"/>
      <c r="F20" s="229">
        <v>385996</v>
      </c>
      <c r="G20" s="342"/>
      <c r="H20" s="226">
        <v>369068</v>
      </c>
      <c r="I20" s="225">
        <v>246754</v>
      </c>
      <c r="J20" s="340">
        <f>IF(H20=0,0,I20/H20)</f>
        <v>0.66858681868923886</v>
      </c>
      <c r="K20" s="177"/>
      <c r="L20" s="226">
        <v>341302</v>
      </c>
      <c r="M20" s="341">
        <f>L20*J20</f>
        <v>228190.01839227459</v>
      </c>
      <c r="O20" s="226">
        <v>341302</v>
      </c>
      <c r="P20" s="225">
        <v>283610.93168899999</v>
      </c>
      <c r="Q20" s="243"/>
      <c r="R20" s="340">
        <f>IF(O20=0,0,P20/O20)</f>
        <v>0.83096768166902035</v>
      </c>
      <c r="T20" s="233">
        <v>301644.12599999999</v>
      </c>
      <c r="U20" s="339" t="s">
        <v>59</v>
      </c>
      <c r="V20" s="231">
        <v>230202.6</v>
      </c>
      <c r="X20" s="182"/>
    </row>
    <row r="21" spans="1:24" x14ac:dyDescent="0.3">
      <c r="A21" s="582"/>
      <c r="B21" s="314"/>
      <c r="C21" s="338" t="s">
        <v>60</v>
      </c>
      <c r="D21" s="337"/>
      <c r="F21" s="227">
        <f>SUM(F16:F20)</f>
        <v>3675116</v>
      </c>
      <c r="G21" s="322"/>
      <c r="H21" s="248">
        <f>SUM(H16:H20)</f>
        <v>7449005</v>
      </c>
      <c r="I21" s="248">
        <f>SUM(I16:I20)</f>
        <v>3895256</v>
      </c>
      <c r="J21" s="210">
        <f>IF(H21=0,0,I21/H21)</f>
        <v>0.52292299441334777</v>
      </c>
      <c r="L21" s="248">
        <f>SUM(L16:L20)</f>
        <v>7586219</v>
      </c>
      <c r="M21" s="336">
        <f>L21*J21</f>
        <v>3967008.355755433</v>
      </c>
      <c r="O21" s="248">
        <f>SUM(O16:O20)</f>
        <v>7382732.4389430005</v>
      </c>
      <c r="P21" s="248">
        <f>SUM(P16:P20)</f>
        <v>4581473.8586959997</v>
      </c>
      <c r="Q21" s="243"/>
      <c r="R21" s="210">
        <f>IF(O21=0,0,P21/O21)</f>
        <v>0.62056615170411589</v>
      </c>
      <c r="T21" s="334">
        <f>SUM(T16:T20)</f>
        <v>5947471.5970000001</v>
      </c>
      <c r="U21" s="335"/>
      <c r="V21" s="334">
        <f>SUM(V16:V20)</f>
        <v>4132072.7030000007</v>
      </c>
      <c r="X21" s="172"/>
    </row>
    <row r="22" spans="1:24" x14ac:dyDescent="0.3">
      <c r="A22" s="582"/>
      <c r="B22" s="165" t="s">
        <v>61</v>
      </c>
      <c r="C22" s="333"/>
      <c r="D22" s="332"/>
      <c r="E22" s="156"/>
      <c r="F22" s="331"/>
      <c r="G22" s="330"/>
      <c r="H22" s="329"/>
      <c r="I22" s="325"/>
      <c r="J22" s="327"/>
      <c r="K22" s="156"/>
      <c r="L22" s="326"/>
      <c r="M22" s="328"/>
      <c r="N22" s="156"/>
      <c r="O22" s="326"/>
      <c r="P22" s="325"/>
      <c r="Q22" s="216"/>
      <c r="R22" s="327"/>
      <c r="S22" s="156"/>
      <c r="T22" s="326"/>
      <c r="U22" s="216"/>
      <c r="V22" s="325"/>
      <c r="W22" s="156"/>
      <c r="X22" s="196"/>
    </row>
    <row r="23" spans="1:24" x14ac:dyDescent="0.3">
      <c r="A23" s="582"/>
      <c r="B23" s="140"/>
      <c r="C23" s="324" t="s">
        <v>62</v>
      </c>
      <c r="D23" s="323"/>
      <c r="F23" s="220">
        <v>1259286</v>
      </c>
      <c r="G23" s="322"/>
      <c r="H23" s="217">
        <v>1707597</v>
      </c>
      <c r="I23" s="215">
        <v>1633523</v>
      </c>
      <c r="J23" s="218">
        <f>IF(H23=0,0,I23/H23)</f>
        <v>0.95662091231127722</v>
      </c>
      <c r="L23" s="321">
        <v>1960685</v>
      </c>
      <c r="M23" s="219">
        <f>L23*J23</f>
        <v>1875632.2734550366</v>
      </c>
      <c r="O23" s="321">
        <v>1821579.445853</v>
      </c>
      <c r="P23" s="215">
        <v>1976739.9597479999</v>
      </c>
      <c r="Q23" s="216"/>
      <c r="R23" s="218">
        <f>IF(O23=0,0,P23/O23)</f>
        <v>1.0851791088487728</v>
      </c>
      <c r="T23" s="321">
        <v>2045173</v>
      </c>
      <c r="U23" s="216"/>
      <c r="V23" s="215">
        <v>2031567</v>
      </c>
      <c r="X23" s="182"/>
    </row>
    <row r="24" spans="1:24" x14ac:dyDescent="0.3">
      <c r="A24" s="582"/>
      <c r="B24" s="140"/>
      <c r="C24" s="324" t="s">
        <v>63</v>
      </c>
      <c r="D24" s="323"/>
      <c r="F24" s="220"/>
      <c r="G24" s="322"/>
      <c r="H24" s="217"/>
      <c r="I24" s="215"/>
      <c r="J24" s="218">
        <f>IF(H24=0,0,I24/H24)</f>
        <v>0</v>
      </c>
      <c r="L24" s="321"/>
      <c r="M24" s="219">
        <f>L24*J24</f>
        <v>0</v>
      </c>
      <c r="O24" s="321"/>
      <c r="P24" s="215"/>
      <c r="Q24" s="216"/>
      <c r="R24" s="218">
        <f>IF(O24=0,0,P24/O24)</f>
        <v>0</v>
      </c>
      <c r="T24" s="321"/>
      <c r="U24" s="216"/>
      <c r="V24" s="215">
        <f>R24*T24</f>
        <v>0</v>
      </c>
      <c r="X24" s="182"/>
    </row>
    <row r="25" spans="1:24" x14ac:dyDescent="0.3">
      <c r="A25" s="582"/>
      <c r="B25" s="140"/>
      <c r="C25" s="324" t="s">
        <v>64</v>
      </c>
      <c r="D25" s="323"/>
      <c r="F25" s="220"/>
      <c r="G25" s="322"/>
      <c r="H25" s="217"/>
      <c r="I25" s="215"/>
      <c r="J25" s="218">
        <f>IF(H25=0,0,I25/H25)</f>
        <v>0</v>
      </c>
      <c r="L25" s="321"/>
      <c r="M25" s="219">
        <f>L25*J25</f>
        <v>0</v>
      </c>
      <c r="O25" s="321"/>
      <c r="P25" s="215"/>
      <c r="Q25" s="216"/>
      <c r="R25" s="218">
        <f>IF(O25=0,0,P25/O25)</f>
        <v>0</v>
      </c>
      <c r="T25" s="321"/>
      <c r="U25" s="216"/>
      <c r="V25" s="215">
        <f>R25*T25</f>
        <v>0</v>
      </c>
      <c r="X25" s="182"/>
    </row>
    <row r="26" spans="1:24" x14ac:dyDescent="0.3">
      <c r="A26" s="582"/>
      <c r="B26" s="140"/>
      <c r="C26" s="320" t="s">
        <v>65</v>
      </c>
      <c r="D26" s="319"/>
      <c r="F26" s="264"/>
      <c r="G26" s="318"/>
      <c r="H26" s="317"/>
      <c r="I26" s="315"/>
      <c r="J26" s="267">
        <f>IF(H26=0,0,I26/H26)</f>
        <v>0</v>
      </c>
      <c r="K26" s="261"/>
      <c r="L26" s="316"/>
      <c r="M26" s="219">
        <f>L26*J26</f>
        <v>0</v>
      </c>
      <c r="O26" s="316"/>
      <c r="P26" s="315"/>
      <c r="Q26" s="216"/>
      <c r="R26" s="267">
        <f>IF(O26=0,0,P26/O26)</f>
        <v>0</v>
      </c>
      <c r="T26" s="316"/>
      <c r="U26" s="216"/>
      <c r="V26" s="315">
        <f>R26*T26</f>
        <v>0</v>
      </c>
      <c r="X26" s="182"/>
    </row>
    <row r="27" spans="1:24" x14ac:dyDescent="0.3">
      <c r="A27" s="582"/>
      <c r="B27" s="314"/>
      <c r="C27" s="313" t="s">
        <v>66</v>
      </c>
      <c r="D27" s="179"/>
      <c r="F27" s="312">
        <f>IF(F24=0,0,(F25-F26)/F24)</f>
        <v>0</v>
      </c>
      <c r="G27" s="310"/>
      <c r="H27" s="311">
        <f>IF(H24=0,0,(H25-H26)/H24)</f>
        <v>0</v>
      </c>
      <c r="I27" s="305">
        <f>IF(I24=0,0,(I25-I26)/I24)</f>
        <v>0</v>
      </c>
      <c r="J27" s="308"/>
      <c r="K27" s="310"/>
      <c r="L27" s="307">
        <f>IF(L24=0,0,L25/L24)</f>
        <v>0</v>
      </c>
      <c r="M27" s="309">
        <f>IF(M24=0,0,M25/M24)</f>
        <v>0</v>
      </c>
      <c r="N27" s="304"/>
      <c r="O27" s="307">
        <f>IF(O24=0,0,O25/O24)</f>
        <v>0</v>
      </c>
      <c r="P27" s="305">
        <f>IF(P24=0,0,P25/P24)</f>
        <v>0</v>
      </c>
      <c r="Q27" s="306"/>
      <c r="R27" s="308"/>
      <c r="S27" s="304"/>
      <c r="T27" s="307"/>
      <c r="U27" s="306"/>
      <c r="V27" s="305"/>
      <c r="W27" s="304"/>
      <c r="X27" s="172"/>
    </row>
    <row r="28" spans="1:24" x14ac:dyDescent="0.3">
      <c r="A28" s="583"/>
      <c r="B28" s="303" t="s">
        <v>67</v>
      </c>
      <c r="C28" s="302"/>
      <c r="D28" s="301"/>
      <c r="F28" s="300"/>
      <c r="G28" s="261"/>
      <c r="H28" s="296"/>
      <c r="I28" s="298"/>
      <c r="J28" s="297">
        <f>IF(H28=0,0,I28/H28)</f>
        <v>0</v>
      </c>
      <c r="K28" s="261"/>
      <c r="L28" s="296"/>
      <c r="M28" s="299">
        <f>L28*J28</f>
        <v>0</v>
      </c>
      <c r="O28" s="296"/>
      <c r="P28" s="298"/>
      <c r="Q28" s="216"/>
      <c r="R28" s="297">
        <f>IF(O28=0,0,P28/O28)</f>
        <v>0</v>
      </c>
      <c r="T28" s="296"/>
      <c r="U28" s="216"/>
      <c r="V28" s="295">
        <f>R28*T28</f>
        <v>0</v>
      </c>
      <c r="X28" s="294"/>
    </row>
    <row r="29" spans="1:24" x14ac:dyDescent="0.3">
      <c r="A29" s="293"/>
      <c r="B29" s="292"/>
      <c r="F29" s="290"/>
      <c r="G29" s="261"/>
      <c r="H29" s="290"/>
      <c r="I29" s="290" t="s">
        <v>68</v>
      </c>
      <c r="J29" s="291"/>
      <c r="K29" s="261"/>
      <c r="L29" s="290"/>
      <c r="O29" s="290"/>
      <c r="P29" s="290"/>
      <c r="R29" s="291"/>
      <c r="T29" s="290"/>
      <c r="V29" s="290"/>
    </row>
    <row r="30" spans="1:24" ht="35.85" customHeight="1" x14ac:dyDescent="0.3">
      <c r="A30" s="581" t="s">
        <v>69</v>
      </c>
      <c r="B30" s="289"/>
      <c r="C30" s="288" t="s">
        <v>37</v>
      </c>
      <c r="D30" s="287" t="s">
        <v>38</v>
      </c>
      <c r="E30" s="281"/>
      <c r="F30" s="282" t="s">
        <v>39</v>
      </c>
      <c r="G30" s="286"/>
      <c r="H30" s="282" t="s">
        <v>70</v>
      </c>
      <c r="I30" s="282" t="s">
        <v>39</v>
      </c>
      <c r="J30" s="283"/>
      <c r="K30" s="285"/>
      <c r="L30" s="282" t="s">
        <v>39</v>
      </c>
      <c r="M30" s="284"/>
      <c r="N30" s="281"/>
      <c r="O30" s="282" t="s">
        <v>39</v>
      </c>
      <c r="P30" s="282" t="s">
        <v>39</v>
      </c>
      <c r="Q30" s="78"/>
      <c r="R30" s="283"/>
      <c r="S30" s="281"/>
      <c r="T30" s="282"/>
      <c r="U30" s="78"/>
      <c r="V30" s="282"/>
      <c r="W30" s="281"/>
      <c r="X30" s="280"/>
    </row>
    <row r="31" spans="1:24" x14ac:dyDescent="0.3">
      <c r="A31" s="582"/>
      <c r="B31" s="254" t="s">
        <v>71</v>
      </c>
      <c r="C31" s="52"/>
      <c r="D31" s="204"/>
      <c r="E31" s="141"/>
      <c r="F31" s="279"/>
      <c r="G31" s="278"/>
      <c r="H31" s="275"/>
      <c r="I31" s="274"/>
      <c r="J31" s="276"/>
      <c r="K31" s="278"/>
      <c r="L31" s="275"/>
      <c r="M31" s="277"/>
      <c r="N31" s="141"/>
      <c r="O31" s="275"/>
      <c r="P31" s="274"/>
      <c r="Q31" s="59"/>
      <c r="R31" s="276"/>
      <c r="S31" s="141"/>
      <c r="T31" s="275"/>
      <c r="U31" s="59"/>
      <c r="V31" s="274"/>
      <c r="W31" s="141"/>
      <c r="X31" s="196"/>
    </row>
    <row r="32" spans="1:24" x14ac:dyDescent="0.3">
      <c r="A32" s="582"/>
      <c r="B32" s="230"/>
      <c r="C32" s="230" t="s">
        <v>72</v>
      </c>
      <c r="D32" s="189"/>
      <c r="F32" s="273">
        <v>322370</v>
      </c>
      <c r="G32" s="261"/>
      <c r="H32" s="271">
        <f>514931</f>
        <v>514931</v>
      </c>
      <c r="I32" s="270">
        <f>457565</f>
        <v>457565</v>
      </c>
      <c r="J32" s="267">
        <f>IF(H32=0,0,I32/H32)</f>
        <v>0.8885947826019408</v>
      </c>
      <c r="K32" s="261"/>
      <c r="L32" s="271">
        <f>599911</f>
        <v>599911</v>
      </c>
      <c r="M32" s="219">
        <f>L32*J32</f>
        <v>533077.7846255129</v>
      </c>
      <c r="O32" s="271">
        <f>599911</f>
        <v>599911</v>
      </c>
      <c r="P32" s="270">
        <f>258375*12/6</f>
        <v>516750</v>
      </c>
      <c r="Q32" s="216"/>
      <c r="R32" s="267">
        <f>IF(O32=0,0,P32/O32)</f>
        <v>0.86137777103603697</v>
      </c>
      <c r="T32" s="239">
        <f>679575.998853-T33</f>
        <v>625307.668282</v>
      </c>
      <c r="U32" s="232"/>
      <c r="V32" s="234">
        <f>603484.069729-V33</f>
        <v>588554.21745200001</v>
      </c>
      <c r="X32" s="182"/>
    </row>
    <row r="33" spans="1:28" x14ac:dyDescent="0.3">
      <c r="A33" s="582"/>
      <c r="B33" s="230"/>
      <c r="C33" s="230" t="s">
        <v>73</v>
      </c>
      <c r="D33" s="189"/>
      <c r="F33" s="272">
        <v>2379</v>
      </c>
      <c r="G33" s="261"/>
      <c r="H33" s="271">
        <f>486573</f>
        <v>486573</v>
      </c>
      <c r="I33" s="270">
        <f>35379</f>
        <v>35379</v>
      </c>
      <c r="J33" s="267">
        <f>IF(H33=0,0,I33/H33)</f>
        <v>7.2710569637032887E-2</v>
      </c>
      <c r="K33" s="261"/>
      <c r="L33" s="271">
        <f>466983</f>
        <v>466983</v>
      </c>
      <c r="M33" s="219">
        <f>L33*J33</f>
        <v>33954.599940810527</v>
      </c>
      <c r="O33" s="271">
        <f>466983</f>
        <v>466983</v>
      </c>
      <c r="P33" s="270">
        <f>42*12/5</f>
        <v>100.8</v>
      </c>
      <c r="Q33" s="216"/>
      <c r="R33" s="267">
        <f>IF(O33=0,0,P33/O33)</f>
        <v>2.1585368203981729E-4</v>
      </c>
      <c r="T33" s="239">
        <f>41565.446089+12702.884482</f>
        <v>54268.330570999999</v>
      </c>
      <c r="U33" s="232"/>
      <c r="V33" s="234">
        <f>9004.434677+5925.4176</f>
        <v>14929.852276999998</v>
      </c>
      <c r="X33" s="182"/>
    </row>
    <row r="34" spans="1:28" x14ac:dyDescent="0.3">
      <c r="A34" s="582"/>
      <c r="B34" s="230"/>
      <c r="C34" s="230" t="s">
        <v>74</v>
      </c>
      <c r="D34" s="189"/>
      <c r="F34" s="264"/>
      <c r="G34" s="261"/>
      <c r="H34" s="269"/>
      <c r="I34" s="268"/>
      <c r="J34" s="267"/>
      <c r="K34" s="261"/>
      <c r="L34" s="269"/>
      <c r="M34" s="219"/>
      <c r="O34" s="269"/>
      <c r="P34" s="268"/>
      <c r="Q34" s="216"/>
      <c r="R34" s="267"/>
      <c r="T34" s="266">
        <f>56412.792789-T35</f>
        <v>7743.140664999999</v>
      </c>
      <c r="U34" s="232"/>
      <c r="V34" s="265">
        <f>1735.66246-V35</f>
        <v>1503.16246</v>
      </c>
      <c r="X34" s="182"/>
    </row>
    <row r="35" spans="1:28" x14ac:dyDescent="0.3">
      <c r="A35" s="582"/>
      <c r="B35" s="230"/>
      <c r="C35" s="230" t="s">
        <v>75</v>
      </c>
      <c r="D35" s="189"/>
      <c r="F35" s="264"/>
      <c r="G35" s="261"/>
      <c r="H35" s="269"/>
      <c r="I35" s="268"/>
      <c r="J35" s="267"/>
      <c r="K35" s="261"/>
      <c r="L35" s="269"/>
      <c r="M35" s="219"/>
      <c r="O35" s="269"/>
      <c r="P35" s="268"/>
      <c r="Q35" s="216"/>
      <c r="R35" s="267"/>
      <c r="T35" s="266">
        <f>13342.729994+35326.92213</f>
        <v>48669.652124</v>
      </c>
      <c r="U35" s="232"/>
      <c r="V35" s="265">
        <f>46.5+186</f>
        <v>232.5</v>
      </c>
      <c r="X35" s="182"/>
    </row>
    <row r="36" spans="1:28" x14ac:dyDescent="0.3">
      <c r="A36" s="582"/>
      <c r="B36" s="230"/>
      <c r="C36" s="230" t="s">
        <v>76</v>
      </c>
      <c r="D36" s="189"/>
      <c r="F36" s="264">
        <v>131700</v>
      </c>
      <c r="G36" s="261"/>
      <c r="H36" s="263">
        <f>I36/J36</f>
        <v>174207.64000743066</v>
      </c>
      <c r="I36" s="262">
        <f>(154.8)*10^3</f>
        <v>154800</v>
      </c>
      <c r="J36" s="258">
        <f>J32</f>
        <v>0.8885947826019408</v>
      </c>
      <c r="K36" s="261"/>
      <c r="L36" s="260">
        <f>(169.8)*10^3</f>
        <v>169800</v>
      </c>
      <c r="M36" s="219">
        <f>L36*J36</f>
        <v>150883.39408580956</v>
      </c>
      <c r="O36" s="260">
        <f>(169.8)*10^3</f>
        <v>169800</v>
      </c>
      <c r="P36" s="259">
        <f>M36</f>
        <v>150883.39408580956</v>
      </c>
      <c r="Q36" s="216"/>
      <c r="R36" s="258">
        <f>IF(O36=0,0,P36/O36)</f>
        <v>0.88859478260194091</v>
      </c>
      <c r="T36" s="233">
        <f>175824.770415-T37</f>
        <v>172404.77041500001</v>
      </c>
      <c r="U36" s="232"/>
      <c r="V36" s="231">
        <f>173220.384907-V37</f>
        <v>167194.85933400001</v>
      </c>
      <c r="X36" s="182"/>
    </row>
    <row r="37" spans="1:28" x14ac:dyDescent="0.3">
      <c r="A37" s="582"/>
      <c r="B37" s="230"/>
      <c r="C37" s="230" t="s">
        <v>77</v>
      </c>
      <c r="D37" s="189"/>
      <c r="F37" s="264">
        <v>0</v>
      </c>
      <c r="G37" s="261"/>
      <c r="H37" s="263">
        <f>I37/J37</f>
        <v>8251.895192063088</v>
      </c>
      <c r="I37" s="262">
        <f>(0.6)*10^3</f>
        <v>600</v>
      </c>
      <c r="J37" s="258">
        <f>J33</f>
        <v>7.2710569637032887E-2</v>
      </c>
      <c r="K37" s="261"/>
      <c r="L37" s="260">
        <f>(1.2)*10^3</f>
        <v>1200</v>
      </c>
      <c r="M37" s="219">
        <f>L37*J37</f>
        <v>87.252683564439465</v>
      </c>
      <c r="O37" s="260">
        <f>(1.2)*10^3</f>
        <v>1200</v>
      </c>
      <c r="P37" s="259">
        <f>M37</f>
        <v>87.252683564439465</v>
      </c>
      <c r="Q37" s="216"/>
      <c r="R37" s="258">
        <f>IF(O37=0,0,P37/O37)</f>
        <v>7.2710569637032887E-2</v>
      </c>
      <c r="T37" s="233">
        <f>1920+1500</f>
        <v>3420</v>
      </c>
      <c r="U37" s="232"/>
      <c r="V37" s="231">
        <f>5999.341893+26.18368</f>
        <v>6025.5255729999999</v>
      </c>
      <c r="X37" s="182"/>
    </row>
    <row r="38" spans="1:28" x14ac:dyDescent="0.3">
      <c r="A38" s="582"/>
      <c r="B38" s="254" t="s">
        <v>78</v>
      </c>
      <c r="C38" s="52"/>
      <c r="D38" s="189"/>
      <c r="E38" s="141"/>
      <c r="F38" s="257"/>
      <c r="G38" s="141"/>
      <c r="H38" s="245"/>
      <c r="I38" s="243"/>
      <c r="J38" s="151"/>
      <c r="K38" s="141"/>
      <c r="L38" s="245"/>
      <c r="M38" s="253"/>
      <c r="N38" s="141"/>
      <c r="O38" s="245"/>
      <c r="P38" s="243"/>
      <c r="Q38" s="158"/>
      <c r="R38" s="151"/>
      <c r="S38" s="141"/>
      <c r="T38" s="245"/>
      <c r="U38" s="158"/>
      <c r="V38" s="243"/>
      <c r="W38" s="141"/>
      <c r="X38" s="182"/>
      <c r="Z38" s="255"/>
      <c r="AA38" s="250"/>
      <c r="AB38" s="250"/>
    </row>
    <row r="39" spans="1:28" x14ac:dyDescent="0.3">
      <c r="A39" s="582"/>
      <c r="B39" s="230"/>
      <c r="C39" s="230" t="s">
        <v>79</v>
      </c>
      <c r="D39" s="189"/>
      <c r="F39" s="241"/>
      <c r="H39" s="240"/>
      <c r="I39" s="235"/>
      <c r="J39" s="218">
        <f>IF(H39=0,0,I39/H39)</f>
        <v>0</v>
      </c>
      <c r="L39" s="240"/>
      <c r="M39" s="219">
        <f>L39*J39</f>
        <v>0</v>
      </c>
      <c r="O39" s="240"/>
      <c r="P39" s="235"/>
      <c r="Q39" s="216"/>
      <c r="R39" s="218">
        <f>IF(O39=0,0,P39/O39)</f>
        <v>0</v>
      </c>
      <c r="T39" s="240"/>
      <c r="U39" s="216"/>
      <c r="V39" s="235">
        <f>R39*T39</f>
        <v>0</v>
      </c>
      <c r="X39" s="182"/>
      <c r="Z39" s="255"/>
      <c r="AA39" s="250"/>
      <c r="AB39" s="250"/>
    </row>
    <row r="40" spans="1:28" x14ac:dyDescent="0.3">
      <c r="A40" s="582"/>
      <c r="B40" s="230"/>
      <c r="C40" s="230" t="s">
        <v>80</v>
      </c>
      <c r="D40" s="189"/>
      <c r="F40" s="220"/>
      <c r="H40" s="217"/>
      <c r="I40" s="215"/>
      <c r="J40" s="218">
        <f>IF(H40=0,0,I40/H40)</f>
        <v>0</v>
      </c>
      <c r="L40" s="217"/>
      <c r="M40" s="219">
        <f>L40*J40</f>
        <v>0</v>
      </c>
      <c r="O40" s="217"/>
      <c r="P40" s="215"/>
      <c r="Q40" s="216"/>
      <c r="R40" s="218">
        <f>IF(O40=0,0,P40/O40)</f>
        <v>0</v>
      </c>
      <c r="T40" s="217"/>
      <c r="U40" s="216"/>
      <c r="V40" s="215">
        <f>R40*T40</f>
        <v>0</v>
      </c>
      <c r="X40" s="182"/>
      <c r="Z40" s="255"/>
      <c r="AA40" s="250"/>
      <c r="AB40" s="250"/>
    </row>
    <row r="41" spans="1:28" x14ac:dyDescent="0.3">
      <c r="A41" s="582"/>
      <c r="B41" s="228"/>
      <c r="C41" s="228" t="s">
        <v>81</v>
      </c>
      <c r="D41" s="179"/>
      <c r="F41" s="227"/>
      <c r="H41" s="226"/>
      <c r="I41" s="225"/>
      <c r="J41" s="218">
        <f>IF(H41=0,0,I41/H41)</f>
        <v>0</v>
      </c>
      <c r="L41" s="248"/>
      <c r="M41" s="256">
        <f>L41*J41</f>
        <v>0</v>
      </c>
      <c r="O41" s="226"/>
      <c r="P41" s="225"/>
      <c r="Q41" s="216"/>
      <c r="R41" s="218">
        <f>IF(O41=0,0,P41/O41)</f>
        <v>0</v>
      </c>
      <c r="T41" s="248"/>
      <c r="U41" s="216"/>
      <c r="V41" s="225">
        <f>R41*T41</f>
        <v>0</v>
      </c>
      <c r="X41" s="172"/>
      <c r="Z41" s="255"/>
      <c r="AA41" s="250"/>
      <c r="AB41" s="250"/>
    </row>
    <row r="42" spans="1:28" x14ac:dyDescent="0.3">
      <c r="A42" s="582"/>
      <c r="B42" s="254" t="s">
        <v>82</v>
      </c>
      <c r="C42" s="254"/>
      <c r="D42" s="189"/>
      <c r="E42" s="141"/>
      <c r="F42" s="162"/>
      <c r="G42" s="141"/>
      <c r="H42" s="159"/>
      <c r="I42" s="157"/>
      <c r="J42" s="252"/>
      <c r="K42" s="141"/>
      <c r="L42" s="245"/>
      <c r="M42" s="253"/>
      <c r="N42" s="141"/>
      <c r="O42" s="159"/>
      <c r="P42" s="157"/>
      <c r="Q42" s="158"/>
      <c r="R42" s="252"/>
      <c r="S42" s="141"/>
      <c r="T42" s="245"/>
      <c r="U42" s="158"/>
      <c r="V42" s="157"/>
      <c r="W42" s="141"/>
      <c r="X42" s="182"/>
    </row>
    <row r="43" spans="1:28" ht="24.75" customHeight="1" x14ac:dyDescent="0.3">
      <c r="A43" s="582"/>
      <c r="B43" s="230"/>
      <c r="C43" s="230" t="s">
        <v>83</v>
      </c>
      <c r="D43" s="189"/>
      <c r="F43" s="241"/>
      <c r="H43" s="240"/>
      <c r="I43" s="235"/>
      <c r="J43" s="218">
        <f t="shared" ref="J43:J49" si="0">IF(H43=0,0,I43/H43)</f>
        <v>0</v>
      </c>
      <c r="L43" s="240"/>
      <c r="M43" s="219">
        <f t="shared" ref="M43:M49" si="1">L43*J43</f>
        <v>0</v>
      </c>
      <c r="O43" s="240"/>
      <c r="P43" s="235"/>
      <c r="Q43" s="216"/>
      <c r="R43" s="218">
        <f t="shared" ref="R43:R49" si="2">IF(O43=0,0,P43/O43)</f>
        <v>0</v>
      </c>
      <c r="T43" s="240"/>
      <c r="U43" s="216"/>
      <c r="V43" s="235">
        <f t="shared" ref="V43:V49" si="3">R43*T43</f>
        <v>0</v>
      </c>
      <c r="X43" s="251"/>
      <c r="AA43" s="250"/>
      <c r="AB43" s="250"/>
    </row>
    <row r="44" spans="1:28" x14ac:dyDescent="0.3">
      <c r="A44" s="582"/>
      <c r="B44" s="230"/>
      <c r="C44" s="230" t="s">
        <v>80</v>
      </c>
      <c r="D44" s="189"/>
      <c r="F44" s="220"/>
      <c r="H44" s="217"/>
      <c r="I44" s="215"/>
      <c r="J44" s="218">
        <f t="shared" si="0"/>
        <v>0</v>
      </c>
      <c r="L44" s="217"/>
      <c r="M44" s="219">
        <f t="shared" si="1"/>
        <v>0</v>
      </c>
      <c r="O44" s="217"/>
      <c r="P44" s="215"/>
      <c r="Q44" s="216"/>
      <c r="R44" s="218">
        <f t="shared" si="2"/>
        <v>0</v>
      </c>
      <c r="T44" s="217"/>
      <c r="U44" s="216"/>
      <c r="V44" s="215">
        <f t="shared" si="3"/>
        <v>0</v>
      </c>
      <c r="X44" s="182"/>
    </row>
    <row r="45" spans="1:28" x14ac:dyDescent="0.3">
      <c r="A45" s="582"/>
      <c r="B45" s="230"/>
      <c r="C45" s="230" t="s">
        <v>81</v>
      </c>
      <c r="D45" s="189"/>
      <c r="F45" s="220"/>
      <c r="H45" s="217"/>
      <c r="I45" s="215"/>
      <c r="J45" s="218">
        <f t="shared" si="0"/>
        <v>0</v>
      </c>
      <c r="L45" s="217"/>
      <c r="M45" s="219">
        <f t="shared" si="1"/>
        <v>0</v>
      </c>
      <c r="O45" s="217"/>
      <c r="P45" s="215"/>
      <c r="Q45" s="216"/>
      <c r="R45" s="218">
        <f t="shared" si="2"/>
        <v>0</v>
      </c>
      <c r="T45" s="217"/>
      <c r="U45" s="216"/>
      <c r="V45" s="215">
        <f t="shared" si="3"/>
        <v>0</v>
      </c>
      <c r="X45" s="182"/>
    </row>
    <row r="46" spans="1:28" x14ac:dyDescent="0.3">
      <c r="A46" s="582"/>
      <c r="B46" s="230"/>
      <c r="C46" s="230" t="s">
        <v>84</v>
      </c>
      <c r="D46" s="189"/>
      <c r="F46" s="220"/>
      <c r="H46" s="217"/>
      <c r="I46" s="215"/>
      <c r="J46" s="218">
        <f t="shared" si="0"/>
        <v>0</v>
      </c>
      <c r="L46" s="217"/>
      <c r="M46" s="219">
        <f t="shared" si="1"/>
        <v>0</v>
      </c>
      <c r="O46" s="217"/>
      <c r="P46" s="215"/>
      <c r="Q46" s="216"/>
      <c r="R46" s="218">
        <f t="shared" si="2"/>
        <v>0</v>
      </c>
      <c r="T46" s="217"/>
      <c r="U46" s="216"/>
      <c r="V46" s="215">
        <f t="shared" si="3"/>
        <v>0</v>
      </c>
      <c r="X46" s="182"/>
    </row>
    <row r="47" spans="1:28" x14ac:dyDescent="0.3">
      <c r="A47" s="582"/>
      <c r="B47" s="230"/>
      <c r="C47" s="230" t="s">
        <v>85</v>
      </c>
      <c r="D47" s="189"/>
      <c r="F47" s="220"/>
      <c r="H47" s="217"/>
      <c r="I47" s="215"/>
      <c r="J47" s="218">
        <f t="shared" si="0"/>
        <v>0</v>
      </c>
      <c r="L47" s="217"/>
      <c r="M47" s="219">
        <f t="shared" si="1"/>
        <v>0</v>
      </c>
      <c r="O47" s="217"/>
      <c r="P47" s="215"/>
      <c r="Q47" s="216"/>
      <c r="R47" s="218">
        <f t="shared" si="2"/>
        <v>0</v>
      </c>
      <c r="T47" s="217"/>
      <c r="U47" s="216"/>
      <c r="V47" s="215">
        <f t="shared" si="3"/>
        <v>0</v>
      </c>
      <c r="X47" s="182"/>
    </row>
    <row r="48" spans="1:28" x14ac:dyDescent="0.3">
      <c r="A48" s="582"/>
      <c r="B48" s="230"/>
      <c r="C48" s="230" t="s">
        <v>86</v>
      </c>
      <c r="D48" s="189"/>
      <c r="F48" s="220"/>
      <c r="H48" s="217"/>
      <c r="I48" s="215"/>
      <c r="J48" s="218">
        <f t="shared" si="0"/>
        <v>0</v>
      </c>
      <c r="L48" s="217"/>
      <c r="M48" s="219">
        <f t="shared" si="1"/>
        <v>0</v>
      </c>
      <c r="O48" s="217"/>
      <c r="P48" s="215"/>
      <c r="Q48" s="216"/>
      <c r="R48" s="218">
        <f t="shared" si="2"/>
        <v>0</v>
      </c>
      <c r="T48" s="217"/>
      <c r="U48" s="216"/>
      <c r="V48" s="215">
        <f t="shared" si="3"/>
        <v>0</v>
      </c>
      <c r="X48" s="182"/>
    </row>
    <row r="49" spans="1:29" x14ac:dyDescent="0.3">
      <c r="A49" s="582"/>
      <c r="B49" s="249"/>
      <c r="C49" s="249" t="s">
        <v>87</v>
      </c>
      <c r="D49" s="179"/>
      <c r="F49" s="227"/>
      <c r="H49" s="248"/>
      <c r="I49" s="247"/>
      <c r="J49" s="210">
        <f t="shared" si="0"/>
        <v>0</v>
      </c>
      <c r="L49" s="226"/>
      <c r="M49" s="219">
        <f t="shared" si="1"/>
        <v>0</v>
      </c>
      <c r="O49" s="248"/>
      <c r="P49" s="247"/>
      <c r="Q49" s="216"/>
      <c r="R49" s="210">
        <f t="shared" si="2"/>
        <v>0</v>
      </c>
      <c r="T49" s="226"/>
      <c r="U49" s="216"/>
      <c r="V49" s="247">
        <f t="shared" si="3"/>
        <v>0</v>
      </c>
      <c r="X49" s="182"/>
    </row>
    <row r="50" spans="1:29" x14ac:dyDescent="0.3">
      <c r="A50" s="582"/>
      <c r="B50" s="246" t="s">
        <v>88</v>
      </c>
      <c r="C50" s="246"/>
      <c r="D50" s="204"/>
      <c r="E50" s="156"/>
      <c r="F50" s="162"/>
      <c r="G50" s="156"/>
      <c r="H50" s="245"/>
      <c r="I50" s="243"/>
      <c r="J50" s="244"/>
      <c r="K50" s="156"/>
      <c r="L50" s="159"/>
      <c r="M50" s="161"/>
      <c r="N50" s="156"/>
      <c r="O50" s="245"/>
      <c r="P50" s="243"/>
      <c r="Q50" s="158"/>
      <c r="R50" s="244"/>
      <c r="S50" s="156"/>
      <c r="T50" s="159"/>
      <c r="U50" s="158"/>
      <c r="V50" s="243"/>
      <c r="W50" s="156"/>
      <c r="X50" s="196"/>
      <c r="AB50" s="242"/>
      <c r="AC50" s="242"/>
    </row>
    <row r="51" spans="1:29" x14ac:dyDescent="0.3">
      <c r="A51" s="582"/>
      <c r="B51" s="230"/>
      <c r="C51" s="230" t="s">
        <v>89</v>
      </c>
      <c r="D51" s="189"/>
      <c r="F51" s="241">
        <v>297399</v>
      </c>
      <c r="H51" s="240">
        <v>428134</v>
      </c>
      <c r="I51" s="235">
        <v>426259</v>
      </c>
      <c r="J51" s="218">
        <f>IF(H51=0,0,I51/H51)</f>
        <v>0.99562053002097473</v>
      </c>
      <c r="L51" s="240">
        <v>515105</v>
      </c>
      <c r="M51" s="219">
        <f>L51*J51</f>
        <v>512849.11311645416</v>
      </c>
      <c r="O51" s="240">
        <v>515105</v>
      </c>
      <c r="P51" s="235">
        <f>244895*12/6</f>
        <v>489790</v>
      </c>
      <c r="Q51" s="216"/>
      <c r="R51" s="218">
        <f t="shared" ref="R51:R58" si="4">IF(O51=0,0,P51/O51)</f>
        <v>0.95085468011376317</v>
      </c>
      <c r="T51" s="239">
        <v>571289.91474000004</v>
      </c>
      <c r="U51" s="232"/>
      <c r="V51" s="234">
        <v>577300.61512199999</v>
      </c>
      <c r="X51" s="182"/>
    </row>
    <row r="52" spans="1:29" x14ac:dyDescent="0.3">
      <c r="A52" s="582"/>
      <c r="B52" s="230"/>
      <c r="C52" s="230" t="s">
        <v>90</v>
      </c>
      <c r="D52" s="189"/>
      <c r="F52" s="238"/>
      <c r="H52" s="237"/>
      <c r="I52" s="236"/>
      <c r="J52" s="218">
        <f>IF(H52=0,0,I52/H52)</f>
        <v>0</v>
      </c>
      <c r="L52" s="226">
        <v>48457</v>
      </c>
      <c r="M52" s="219">
        <f>L52*J52</f>
        <v>0</v>
      </c>
      <c r="O52" s="226">
        <v>48457</v>
      </c>
      <c r="P52" s="235"/>
      <c r="Q52" s="216"/>
      <c r="R52" s="218">
        <f t="shared" si="4"/>
        <v>0</v>
      </c>
      <c r="T52" s="233">
        <v>158413.62099</v>
      </c>
      <c r="U52" s="232"/>
      <c r="V52" s="234">
        <v>166693.17159400001</v>
      </c>
      <c r="X52" s="182"/>
    </row>
    <row r="53" spans="1:29" x14ac:dyDescent="0.3">
      <c r="A53" s="582"/>
      <c r="B53" s="230"/>
      <c r="C53" s="230" t="s">
        <v>81</v>
      </c>
      <c r="D53" s="189"/>
      <c r="F53" s="229"/>
      <c r="H53" s="226"/>
      <c r="I53" s="225"/>
      <c r="J53" s="218">
        <f>IF(H53=0,0,I53/H53)</f>
        <v>0</v>
      </c>
      <c r="L53" s="226"/>
      <c r="M53" s="219">
        <f>L53*J53</f>
        <v>0</v>
      </c>
      <c r="O53" s="226"/>
      <c r="P53" s="225"/>
      <c r="Q53" s="216"/>
      <c r="R53" s="218">
        <f t="shared" si="4"/>
        <v>0</v>
      </c>
      <c r="T53" s="233">
        <v>798.55596800000001</v>
      </c>
      <c r="U53" s="232"/>
      <c r="V53" s="231">
        <v>0</v>
      </c>
      <c r="X53" s="182"/>
    </row>
    <row r="54" spans="1:29" x14ac:dyDescent="0.3">
      <c r="A54" s="582"/>
      <c r="B54" s="230"/>
      <c r="C54" s="230" t="s">
        <v>84</v>
      </c>
      <c r="D54" s="189"/>
      <c r="F54" s="229"/>
      <c r="H54" s="226"/>
      <c r="I54" s="225"/>
      <c r="J54" s="218">
        <f>IF(H54=0,0,I54/H54)</f>
        <v>0</v>
      </c>
      <c r="L54" s="226"/>
      <c r="M54" s="219">
        <f>L54*J54</f>
        <v>0</v>
      </c>
      <c r="O54" s="226"/>
      <c r="P54" s="225"/>
      <c r="Q54" s="216"/>
      <c r="R54" s="218">
        <f t="shared" si="4"/>
        <v>0</v>
      </c>
      <c r="T54" s="233"/>
      <c r="U54" s="232"/>
      <c r="V54" s="231"/>
      <c r="X54" s="182"/>
    </row>
    <row r="55" spans="1:29" x14ac:dyDescent="0.3">
      <c r="A55" s="582"/>
      <c r="B55" s="230"/>
      <c r="C55" s="230" t="s">
        <v>85</v>
      </c>
      <c r="D55" s="189"/>
      <c r="F55" s="229"/>
      <c r="H55" s="226"/>
      <c r="I55" s="225"/>
      <c r="J55" s="218">
        <f>IF(H55=0,0,I55/H55)</f>
        <v>0</v>
      </c>
      <c r="L55" s="226"/>
      <c r="M55" s="219">
        <f>L55*J55</f>
        <v>0</v>
      </c>
      <c r="O55" s="226"/>
      <c r="P55" s="225"/>
      <c r="Q55" s="216"/>
      <c r="R55" s="218">
        <f t="shared" si="4"/>
        <v>0</v>
      </c>
      <c r="T55" s="233"/>
      <c r="U55" s="232"/>
      <c r="V55" s="231"/>
      <c r="X55" s="182"/>
    </row>
    <row r="56" spans="1:29" x14ac:dyDescent="0.3">
      <c r="A56" s="582"/>
      <c r="B56" s="230"/>
      <c r="C56" s="230" t="s">
        <v>86</v>
      </c>
      <c r="D56" s="189"/>
      <c r="F56" s="229"/>
      <c r="H56" s="226"/>
      <c r="I56" s="225"/>
      <c r="J56" s="218"/>
      <c r="L56" s="226"/>
      <c r="M56" s="219"/>
      <c r="O56" s="226"/>
      <c r="P56" s="225"/>
      <c r="Q56" s="216"/>
      <c r="R56" s="218">
        <f t="shared" si="4"/>
        <v>0</v>
      </c>
      <c r="T56" s="226"/>
      <c r="U56" s="216"/>
      <c r="V56" s="225"/>
      <c r="X56" s="182"/>
    </row>
    <row r="57" spans="1:29" x14ac:dyDescent="0.3">
      <c r="A57" s="582"/>
      <c r="B57" s="230"/>
      <c r="C57" s="230" t="s">
        <v>87</v>
      </c>
      <c r="D57" s="189"/>
      <c r="F57" s="229"/>
      <c r="H57" s="226"/>
      <c r="I57" s="225"/>
      <c r="J57" s="218">
        <f>IF(H57=0,0,I57/H57)</f>
        <v>0</v>
      </c>
      <c r="L57" s="226"/>
      <c r="M57" s="219">
        <f>L57*J57</f>
        <v>0</v>
      </c>
      <c r="O57" s="226"/>
      <c r="P57" s="225"/>
      <c r="Q57" s="216"/>
      <c r="R57" s="218">
        <f t="shared" si="4"/>
        <v>0</v>
      </c>
      <c r="T57" s="226"/>
      <c r="U57" s="216"/>
      <c r="V57" s="225"/>
      <c r="X57" s="182"/>
    </row>
    <row r="58" spans="1:29" x14ac:dyDescent="0.3">
      <c r="A58" s="582"/>
      <c r="B58" s="228"/>
      <c r="C58" s="228" t="s">
        <v>91</v>
      </c>
      <c r="D58" s="179"/>
      <c r="F58" s="227"/>
      <c r="H58" s="226"/>
      <c r="I58" s="225"/>
      <c r="J58" s="218">
        <f>IF(H58=0,0,I58/H58)</f>
        <v>0</v>
      </c>
      <c r="L58" s="226"/>
      <c r="M58" s="219">
        <f>L58*J58</f>
        <v>0</v>
      </c>
      <c r="O58" s="226"/>
      <c r="P58" s="225"/>
      <c r="Q58" s="216"/>
      <c r="R58" s="218">
        <f t="shared" si="4"/>
        <v>0</v>
      </c>
      <c r="T58" s="226"/>
      <c r="U58" s="216"/>
      <c r="V58" s="225"/>
      <c r="X58" s="172"/>
    </row>
    <row r="59" spans="1:29" x14ac:dyDescent="0.3">
      <c r="A59" s="582"/>
      <c r="B59" s="224" t="s">
        <v>92</v>
      </c>
      <c r="C59" s="224"/>
      <c r="D59" s="204"/>
      <c r="E59" s="141"/>
      <c r="F59" s="223"/>
      <c r="G59" s="141"/>
      <c r="H59" s="222"/>
      <c r="I59" s="221"/>
      <c r="J59" s="160"/>
      <c r="K59" s="141"/>
      <c r="L59" s="159"/>
      <c r="M59" s="161"/>
      <c r="N59" s="141"/>
      <c r="O59" s="222"/>
      <c r="P59" s="221"/>
      <c r="Q59" s="158"/>
      <c r="R59" s="160"/>
      <c r="S59" s="141"/>
      <c r="T59" s="159"/>
      <c r="U59" s="158"/>
      <c r="V59" s="221"/>
      <c r="W59" s="141"/>
      <c r="X59" s="196"/>
    </row>
    <row r="60" spans="1:29" x14ac:dyDescent="0.3">
      <c r="A60" s="582"/>
      <c r="B60" s="187"/>
      <c r="C60" s="187" t="s">
        <v>93</v>
      </c>
      <c r="D60" s="189"/>
      <c r="F60" s="220"/>
      <c r="H60" s="217"/>
      <c r="I60" s="215"/>
      <c r="J60" s="218">
        <f>IF(H60=0,0,I60/H60)</f>
        <v>0</v>
      </c>
      <c r="L60" s="217"/>
      <c r="M60" s="219">
        <f>M28*M61</f>
        <v>0</v>
      </c>
      <c r="O60" s="217"/>
      <c r="P60" s="215"/>
      <c r="Q60" s="216"/>
      <c r="R60" s="218">
        <f>IF(O60=0,0,P60/O60)</f>
        <v>0</v>
      </c>
      <c r="T60" s="217"/>
      <c r="U60" s="216"/>
      <c r="V60" s="215"/>
      <c r="X60" s="182"/>
    </row>
    <row r="61" spans="1:29" x14ac:dyDescent="0.3">
      <c r="A61" s="582"/>
      <c r="B61" s="214"/>
      <c r="C61" s="214" t="s">
        <v>94</v>
      </c>
      <c r="D61" s="179"/>
      <c r="F61" s="213"/>
      <c r="G61" s="212"/>
      <c r="H61" s="209"/>
      <c r="I61" s="207"/>
      <c r="J61" s="210"/>
      <c r="L61" s="209"/>
      <c r="M61" s="211"/>
      <c r="O61" s="209"/>
      <c r="P61" s="207"/>
      <c r="Q61" s="208"/>
      <c r="R61" s="210"/>
      <c r="T61" s="209"/>
      <c r="U61" s="208"/>
      <c r="V61" s="207"/>
      <c r="X61" s="172"/>
    </row>
    <row r="62" spans="1:29" ht="15" customHeight="1" x14ac:dyDescent="0.3">
      <c r="A62" s="582"/>
      <c r="B62" s="206" t="s">
        <v>95</v>
      </c>
      <c r="C62" s="205"/>
      <c r="D62" s="204"/>
      <c r="E62" s="141"/>
      <c r="F62" s="203"/>
      <c r="G62" s="202"/>
      <c r="H62" s="199"/>
      <c r="I62" s="197"/>
      <c r="J62" s="200"/>
      <c r="L62" s="199"/>
      <c r="M62" s="201"/>
      <c r="N62" s="141"/>
      <c r="O62" s="199"/>
      <c r="P62" s="197"/>
      <c r="Q62" s="198"/>
      <c r="R62" s="200"/>
      <c r="S62" s="141"/>
      <c r="T62" s="199"/>
      <c r="U62" s="198"/>
      <c r="V62" s="197"/>
      <c r="W62" s="141"/>
      <c r="X62" s="196"/>
    </row>
    <row r="63" spans="1:29" x14ac:dyDescent="0.3">
      <c r="A63" s="582"/>
      <c r="B63" s="192"/>
      <c r="C63" s="190" t="s">
        <v>89</v>
      </c>
      <c r="D63" s="189"/>
      <c r="F63" s="195"/>
      <c r="G63" s="187"/>
      <c r="H63" s="194">
        <v>69206.441000000006</v>
      </c>
      <c r="I63" s="193">
        <v>69206.441000000006</v>
      </c>
      <c r="J63" s="185">
        <f>IF(H63=0,0,I63/H63)</f>
        <v>1</v>
      </c>
      <c r="L63" s="194">
        <v>41070.776212999997</v>
      </c>
      <c r="M63" s="186">
        <f>L63*J63</f>
        <v>41070.776212999997</v>
      </c>
      <c r="O63" s="194"/>
      <c r="P63" s="193"/>
      <c r="Q63" s="168"/>
      <c r="R63" s="185">
        <f>IF(O63=0,0,P63/O63)</f>
        <v>0</v>
      </c>
      <c r="T63" s="194"/>
      <c r="U63" s="168"/>
      <c r="V63" s="193"/>
      <c r="X63" s="182"/>
    </row>
    <row r="64" spans="1:29" x14ac:dyDescent="0.3">
      <c r="A64" s="582"/>
      <c r="B64" s="192"/>
      <c r="C64" s="190"/>
      <c r="D64" s="189"/>
      <c r="F64" s="188"/>
      <c r="G64" s="187"/>
      <c r="H64" s="184"/>
      <c r="I64" s="183"/>
      <c r="J64" s="185">
        <f>IF(H64=0,0,I64/H64)</f>
        <v>0</v>
      </c>
      <c r="L64" s="184"/>
      <c r="M64" s="186">
        <f>L64*J64</f>
        <v>0</v>
      </c>
      <c r="O64" s="184"/>
      <c r="P64" s="183"/>
      <c r="Q64" s="168"/>
      <c r="R64" s="185">
        <f>IF(O64=0,0,P64/O64)</f>
        <v>0</v>
      </c>
      <c r="T64" s="184"/>
      <c r="U64" s="168"/>
      <c r="V64" s="183"/>
      <c r="X64" s="182"/>
    </row>
    <row r="65" spans="1:35" x14ac:dyDescent="0.3">
      <c r="A65" s="582"/>
      <c r="B65" s="191"/>
      <c r="C65" s="190"/>
      <c r="D65" s="189"/>
      <c r="F65" s="188"/>
      <c r="G65" s="187"/>
      <c r="H65" s="184"/>
      <c r="I65" s="183"/>
      <c r="J65" s="185">
        <f>IF(H65=0,0,I65/H65)</f>
        <v>0</v>
      </c>
      <c r="L65" s="184"/>
      <c r="M65" s="186">
        <f>L65*J65</f>
        <v>0</v>
      </c>
      <c r="O65" s="184"/>
      <c r="P65" s="183"/>
      <c r="Q65" s="168"/>
      <c r="R65" s="185">
        <f>IF(O65=0,0,P65/O65)</f>
        <v>0</v>
      </c>
      <c r="T65" s="184"/>
      <c r="U65" s="168"/>
      <c r="V65" s="183"/>
      <c r="X65" s="182"/>
    </row>
    <row r="66" spans="1:35" x14ac:dyDescent="0.3">
      <c r="A66" s="583"/>
      <c r="B66" s="181"/>
      <c r="C66" s="180"/>
      <c r="D66" s="179"/>
      <c r="F66" s="178"/>
      <c r="G66" s="177"/>
      <c r="H66" s="174"/>
      <c r="I66" s="173"/>
      <c r="J66" s="175">
        <f>IF(H66=0,0,I66/H66)</f>
        <v>0</v>
      </c>
      <c r="L66" s="174"/>
      <c r="M66" s="176">
        <f>L66*J66</f>
        <v>0</v>
      </c>
      <c r="O66" s="174"/>
      <c r="P66" s="173"/>
      <c r="Q66" s="168"/>
      <c r="R66" s="175">
        <f>IF(O66=0,0,P66/O66)</f>
        <v>0</v>
      </c>
      <c r="T66" s="174"/>
      <c r="U66" s="168"/>
      <c r="V66" s="173"/>
      <c r="X66" s="172"/>
    </row>
    <row r="67" spans="1:35" x14ac:dyDescent="0.3">
      <c r="A67" s="171"/>
      <c r="B67" s="171"/>
      <c r="C67" s="53"/>
      <c r="D67" s="170"/>
      <c r="F67" s="167"/>
      <c r="H67" s="167"/>
      <c r="I67" s="167"/>
      <c r="J67" s="169"/>
      <c r="L67" s="167"/>
      <c r="M67" s="168"/>
      <c r="O67" s="167"/>
      <c r="P67" s="167"/>
      <c r="Q67" s="168"/>
      <c r="R67" s="169"/>
      <c r="T67" s="167"/>
      <c r="U67" s="168"/>
      <c r="V67" s="167"/>
      <c r="X67" s="166"/>
      <c r="Y67" s="166"/>
      <c r="Z67" s="166"/>
      <c r="AA67" s="166"/>
      <c r="AB67" s="166"/>
      <c r="AC67" s="166"/>
      <c r="AD67" s="166"/>
      <c r="AE67" s="166"/>
      <c r="AF67" s="166"/>
      <c r="AG67" s="166"/>
      <c r="AH67" s="166"/>
      <c r="AI67" s="166"/>
    </row>
    <row r="68" spans="1:35" x14ac:dyDescent="0.3">
      <c r="A68" s="581" t="s">
        <v>96</v>
      </c>
      <c r="B68" s="165" t="s">
        <v>97</v>
      </c>
      <c r="C68" s="164"/>
      <c r="D68" s="163"/>
      <c r="E68" s="156"/>
      <c r="F68" s="162"/>
      <c r="G68" s="156"/>
      <c r="H68" s="159"/>
      <c r="I68" s="157"/>
      <c r="J68" s="160"/>
      <c r="K68" s="156"/>
      <c r="L68" s="159"/>
      <c r="M68" s="161"/>
      <c r="N68" s="156"/>
      <c r="O68" s="159"/>
      <c r="P68" s="157"/>
      <c r="Q68" s="158"/>
      <c r="R68" s="160"/>
      <c r="S68" s="156"/>
      <c r="T68" s="159"/>
      <c r="U68" s="158"/>
      <c r="V68" s="157"/>
      <c r="W68" s="156"/>
    </row>
    <row r="69" spans="1:35" x14ac:dyDescent="0.3">
      <c r="A69" s="582"/>
      <c r="B69" s="140"/>
      <c r="C69" s="59"/>
      <c r="D69" s="155" t="s">
        <v>98</v>
      </c>
      <c r="F69" s="154">
        <f>SUM(F32:F37)-SUM(F39:F41)</f>
        <v>456449</v>
      </c>
      <c r="G69" s="153"/>
      <c r="H69" s="149">
        <f>SUM(H32:H37)-SUM(H39:H41)</f>
        <v>1183963.5351994939</v>
      </c>
      <c r="I69" s="150">
        <f>SUM(I32:I37)-SUM(I39:I41)</f>
        <v>648344</v>
      </c>
      <c r="J69" s="151"/>
      <c r="K69" s="153"/>
      <c r="L69" s="149">
        <f>SUM(L32:L37)-SUM(L39:L41)</f>
        <v>1237894</v>
      </c>
      <c r="M69" s="152">
        <f>SUM(M32:M37)-SUM(M39:M41)</f>
        <v>718003.03133569739</v>
      </c>
      <c r="O69" s="149">
        <f>SUM(O32:O37)-SUM(O39:O41)</f>
        <v>1237894</v>
      </c>
      <c r="P69" s="149">
        <f>SUM(P32:P37)-SUM(P39:P41)</f>
        <v>667821.44676937396</v>
      </c>
      <c r="Q69" s="150"/>
      <c r="R69" s="151"/>
      <c r="T69" s="149">
        <f>SUM(T32:T37)-SUM(T39:T41)</f>
        <v>911813.562057</v>
      </c>
      <c r="U69" s="150"/>
      <c r="V69" s="149">
        <f>SUM(V32:V37)-SUM(V39:V41)</f>
        <v>778440.117096</v>
      </c>
    </row>
    <row r="70" spans="1:35" x14ac:dyDescent="0.3">
      <c r="A70" s="582"/>
      <c r="B70" s="140"/>
      <c r="C70" s="59"/>
      <c r="D70" s="155" t="s">
        <v>82</v>
      </c>
      <c r="F70" s="154">
        <f>SUM(F43:F49)</f>
        <v>0</v>
      </c>
      <c r="G70" s="153"/>
      <c r="H70" s="149">
        <f>SUM(H43:H49)</f>
        <v>0</v>
      </c>
      <c r="I70" s="150">
        <f>SUM(I43:I49)</f>
        <v>0</v>
      </c>
      <c r="J70" s="151"/>
      <c r="K70" s="153"/>
      <c r="L70" s="149">
        <f>SUM(L43:L49)</f>
        <v>0</v>
      </c>
      <c r="M70" s="152">
        <f>SUM(M43:M49)</f>
        <v>0</v>
      </c>
      <c r="O70" s="149">
        <f>SUM(O43:O49)</f>
        <v>0</v>
      </c>
      <c r="P70" s="149">
        <f>SUM(P43:P49)</f>
        <v>0</v>
      </c>
      <c r="Q70" s="150"/>
      <c r="R70" s="151"/>
      <c r="T70" s="149">
        <f>SUM(T43:T49)</f>
        <v>0</v>
      </c>
      <c r="U70" s="150"/>
      <c r="V70" s="149">
        <f>SUM(V43:V49)</f>
        <v>0</v>
      </c>
    </row>
    <row r="71" spans="1:35" x14ac:dyDescent="0.3">
      <c r="A71" s="582"/>
      <c r="B71" s="140"/>
      <c r="C71" s="59"/>
      <c r="D71" s="155" t="s">
        <v>99</v>
      </c>
      <c r="F71" s="154">
        <f>SUM(F51:F58)*F27</f>
        <v>0</v>
      </c>
      <c r="G71" s="153"/>
      <c r="H71" s="149">
        <f>SUM(H51:H58)*H27</f>
        <v>0</v>
      </c>
      <c r="I71" s="150">
        <f>SUM(I51:I58)*I27</f>
        <v>0</v>
      </c>
      <c r="J71" s="151"/>
      <c r="K71" s="153"/>
      <c r="L71" s="149">
        <f>SUM(L51:L58)*L27</f>
        <v>0</v>
      </c>
      <c r="M71" s="152">
        <f>SUM(M51:M58)*M27</f>
        <v>0</v>
      </c>
      <c r="O71" s="149">
        <f>SUM(O51:O58)*O27</f>
        <v>0</v>
      </c>
      <c r="P71" s="149">
        <f>SUM(P51:P58)*P27</f>
        <v>0</v>
      </c>
      <c r="Q71" s="150"/>
      <c r="R71" s="151"/>
      <c r="T71" s="149">
        <f>SUM(T51:T58)*T27</f>
        <v>0</v>
      </c>
      <c r="U71" s="150"/>
      <c r="V71" s="149">
        <f>SUM(V51:V58)*V27</f>
        <v>0</v>
      </c>
    </row>
    <row r="72" spans="1:35" x14ac:dyDescent="0.3">
      <c r="A72" s="582"/>
      <c r="B72" s="140"/>
      <c r="C72" s="59"/>
      <c r="D72" s="155" t="s">
        <v>92</v>
      </c>
      <c r="F72" s="154">
        <f>F60</f>
        <v>0</v>
      </c>
      <c r="G72" s="153"/>
      <c r="H72" s="149">
        <f>H60</f>
        <v>0</v>
      </c>
      <c r="I72" s="150">
        <f>I60</f>
        <v>0</v>
      </c>
      <c r="J72" s="151"/>
      <c r="K72" s="153"/>
      <c r="L72" s="149">
        <f>L60</f>
        <v>0</v>
      </c>
      <c r="M72" s="152">
        <f>M60</f>
        <v>0</v>
      </c>
      <c r="O72" s="149">
        <f>O60</f>
        <v>0</v>
      </c>
      <c r="P72" s="149">
        <f>P60</f>
        <v>0</v>
      </c>
      <c r="Q72" s="150"/>
      <c r="R72" s="151"/>
      <c r="T72" s="149">
        <f>T60</f>
        <v>0</v>
      </c>
      <c r="U72" s="150"/>
      <c r="V72" s="149">
        <f>V60</f>
        <v>0</v>
      </c>
    </row>
    <row r="73" spans="1:35" x14ac:dyDescent="0.3">
      <c r="A73" s="582"/>
      <c r="B73" s="140"/>
      <c r="C73" s="59"/>
      <c r="D73" s="148" t="s">
        <v>100</v>
      </c>
      <c r="E73" s="141"/>
      <c r="F73" s="147">
        <f>SUM(F69:F72)</f>
        <v>456449</v>
      </c>
      <c r="G73" s="146"/>
      <c r="H73" s="142">
        <f>SUM(H69:H72)</f>
        <v>1183963.5351994939</v>
      </c>
      <c r="I73" s="143">
        <f>SUM(I69:I72)</f>
        <v>648344</v>
      </c>
      <c r="J73" s="144"/>
      <c r="K73" s="146"/>
      <c r="L73" s="142">
        <f>SUM(L69:L72)</f>
        <v>1237894</v>
      </c>
      <c r="M73" s="145">
        <f>SUM(M69:M72)</f>
        <v>718003.03133569739</v>
      </c>
      <c r="N73" s="141"/>
      <c r="O73" s="142">
        <f>SUM(O69:O72)</f>
        <v>1237894</v>
      </c>
      <c r="P73" s="142">
        <f>SUM(P69:P72)</f>
        <v>667821.44676937396</v>
      </c>
      <c r="Q73" s="143"/>
      <c r="R73" s="144"/>
      <c r="S73" s="141"/>
      <c r="T73" s="142">
        <f>SUM(T69:T72)</f>
        <v>911813.562057</v>
      </c>
      <c r="U73" s="143"/>
      <c r="V73" s="142">
        <f>SUM(V69:V72)</f>
        <v>778440.117096</v>
      </c>
      <c r="W73" s="141"/>
    </row>
    <row r="74" spans="1:35" ht="15.6" x14ac:dyDescent="0.3">
      <c r="A74" s="582"/>
      <c r="B74" s="140"/>
      <c r="C74" s="59"/>
      <c r="D74" s="139" t="s">
        <v>101</v>
      </c>
      <c r="F74" s="138">
        <f>F73/(F16+F17)</f>
        <v>0.13877541713285013</v>
      </c>
      <c r="G74" s="137"/>
      <c r="H74" s="134">
        <f>H73/(H16+H17)</f>
        <v>0.16722797606807713</v>
      </c>
      <c r="I74" s="135">
        <f>I73/(I16+I17)</f>
        <v>0.17770142376240988</v>
      </c>
      <c r="J74" s="136"/>
      <c r="K74" s="137"/>
      <c r="L74" s="134">
        <f>L73/(L16+L17)</f>
        <v>0.17086379319459422</v>
      </c>
      <c r="M74" s="136">
        <f>M73/(M16+M17)</f>
        <v>0.18763460277507416</v>
      </c>
      <c r="O74" s="134">
        <f>O73/(O16+O17)</f>
        <v>0.17580149526916608</v>
      </c>
      <c r="P74" s="134">
        <f>P73/(P16+P17)</f>
        <v>0.15538453834181257</v>
      </c>
      <c r="Q74" s="135"/>
      <c r="R74" s="136"/>
      <c r="T74" s="134">
        <f>T73/(T16+T17)</f>
        <v>0.1637742633356998</v>
      </c>
      <c r="U74" s="135"/>
      <c r="V74" s="134">
        <f>V73/(V16+V17)</f>
        <v>0.2026241116066391</v>
      </c>
    </row>
    <row r="75" spans="1:35" s="113" customFormat="1" ht="18" x14ac:dyDescent="0.3">
      <c r="A75" s="582"/>
      <c r="B75" s="133"/>
      <c r="C75" s="132"/>
      <c r="D75" s="121" t="s">
        <v>102</v>
      </c>
      <c r="E75" s="131"/>
      <c r="F75" s="130">
        <f>F32+F34+F36</f>
        <v>454070</v>
      </c>
      <c r="G75" s="127"/>
      <c r="H75" s="129">
        <f>H32+H34+H36</f>
        <v>689138.64000743069</v>
      </c>
      <c r="I75" s="128">
        <f>I32+I34+I36</f>
        <v>612365</v>
      </c>
      <c r="J75" s="126"/>
      <c r="K75" s="127"/>
      <c r="L75" s="124">
        <f>L32+L34+L36</f>
        <v>769711</v>
      </c>
      <c r="M75" s="126">
        <f>M32+M34+M36</f>
        <v>683961.17871132249</v>
      </c>
      <c r="N75" s="114"/>
      <c r="O75" s="124">
        <f>O32+O34+O36</f>
        <v>769711</v>
      </c>
      <c r="P75" s="124">
        <f>P32+P34+P36</f>
        <v>667633.39408580959</v>
      </c>
      <c r="Q75" s="125"/>
      <c r="R75" s="126"/>
      <c r="S75" s="114"/>
      <c r="T75" s="124">
        <f>T32+T34+T36</f>
        <v>805455.57936199999</v>
      </c>
      <c r="U75" s="125"/>
      <c r="V75" s="124">
        <f>V32+V34+V36</f>
        <v>757252.23924600007</v>
      </c>
      <c r="W75" s="114"/>
    </row>
    <row r="76" spans="1:35" s="81" customFormat="1" ht="18" x14ac:dyDescent="0.3">
      <c r="A76" s="582"/>
      <c r="B76" s="104"/>
      <c r="C76" s="103"/>
      <c r="D76" s="111" t="s">
        <v>103</v>
      </c>
      <c r="E76" s="107"/>
      <c r="F76" s="110">
        <f>(F73-F75)/(F17+F18)</f>
        <v>3.5925756456895888E-3</v>
      </c>
      <c r="G76" s="107"/>
      <c r="H76" s="109">
        <f>(H73-H75)/(H17+H18)</f>
        <v>0.17380956979099405</v>
      </c>
      <c r="I76" s="108">
        <f>(I73-I75)/(I17+I18)</f>
        <v>9.728681751319547E-2</v>
      </c>
      <c r="J76" s="106"/>
      <c r="K76" s="107"/>
      <c r="L76" s="105">
        <f>(L73-L75)/(L17+L18)</f>
        <v>0.16908707361477734</v>
      </c>
      <c r="M76" s="106">
        <f>(M73-M75)/(M17+M18)</f>
        <v>9.464348421310817E-2</v>
      </c>
      <c r="N76" s="82"/>
      <c r="O76" s="105">
        <f>(O73-O75)/(O17+O18)</f>
        <v>0.16908707361477734</v>
      </c>
      <c r="P76" s="105">
        <f>(P73-P75)/(P17+P18)</f>
        <v>3.2129859096058372E-4</v>
      </c>
      <c r="Q76" s="82"/>
      <c r="R76" s="106"/>
      <c r="S76" s="82"/>
      <c r="T76" s="105">
        <f>(T73-T75)/(T17+T18)</f>
        <v>8.0847349299750182E-2</v>
      </c>
      <c r="U76" s="82"/>
      <c r="V76" s="105">
        <f>(V73-V75)/(V17+V18)</f>
        <v>7.5968336187683727E-2</v>
      </c>
      <c r="W76" s="82"/>
    </row>
    <row r="77" spans="1:35" s="81" customFormat="1" ht="18" x14ac:dyDescent="0.3">
      <c r="A77" s="582"/>
      <c r="B77" s="104"/>
      <c r="C77" s="103"/>
      <c r="D77" s="111" t="s">
        <v>104</v>
      </c>
      <c r="E77" s="107"/>
      <c r="F77" s="110">
        <f>F75/F16</f>
        <v>0.17285255247493167</v>
      </c>
      <c r="G77" s="107"/>
      <c r="H77" s="109">
        <f>H75/H16</f>
        <v>0.16280147413357682</v>
      </c>
      <c r="I77" s="108">
        <f>I75/I16</f>
        <v>0.18677192453787778</v>
      </c>
      <c r="J77" s="106"/>
      <c r="K77" s="107"/>
      <c r="L77" s="105">
        <f>L75/L16</f>
        <v>0.17196287781806646</v>
      </c>
      <c r="M77" s="106">
        <f>M75/M16</f>
        <v>0.19728222861667624</v>
      </c>
      <c r="N77" s="82"/>
      <c r="O77" s="105">
        <f>O75/O16</f>
        <v>0.1801528787242527</v>
      </c>
      <c r="P77" s="105">
        <f>P75/P16</f>
        <v>0.17983035290328875</v>
      </c>
      <c r="Q77" s="82"/>
      <c r="R77" s="106"/>
      <c r="S77" s="82"/>
      <c r="T77" s="105">
        <f>T75/T16</f>
        <v>0.18943153649155189</v>
      </c>
      <c r="U77" s="82"/>
      <c r="V77" s="105">
        <f>V75/V16</f>
        <v>0.21253876246026843</v>
      </c>
      <c r="W77" s="82"/>
    </row>
    <row r="78" spans="1:35" s="81" customFormat="1" ht="18" x14ac:dyDescent="0.3">
      <c r="A78" s="582"/>
      <c r="B78" s="104"/>
      <c r="C78" s="103"/>
      <c r="D78" s="111"/>
      <c r="E78" s="107"/>
      <c r="F78" s="110"/>
      <c r="G78" s="107"/>
      <c r="H78" s="109"/>
      <c r="I78" s="108"/>
      <c r="J78" s="106"/>
      <c r="K78" s="107"/>
      <c r="L78" s="105"/>
      <c r="M78" s="106"/>
      <c r="N78" s="82"/>
      <c r="O78" s="105"/>
      <c r="P78" s="105"/>
      <c r="Q78" s="82"/>
      <c r="R78" s="106"/>
      <c r="S78" s="82"/>
      <c r="T78" s="105"/>
      <c r="U78" s="82"/>
      <c r="V78" s="105"/>
      <c r="W78" s="82"/>
    </row>
    <row r="79" spans="1:35" s="81" customFormat="1" ht="18" x14ac:dyDescent="0.3">
      <c r="A79" s="582"/>
      <c r="B79" s="104"/>
      <c r="C79" s="103"/>
      <c r="D79" s="112" t="s">
        <v>105</v>
      </c>
      <c r="E79" s="107"/>
      <c r="F79" s="110" t="e">
        <f>F73/F12</f>
        <v>#DIV/0!</v>
      </c>
      <c r="G79" s="107"/>
      <c r="H79" s="109">
        <f>H73/H12</f>
        <v>0.21603616135166268</v>
      </c>
      <c r="I79" s="108" t="e">
        <f>I73/I12</f>
        <v>#DIV/0!</v>
      </c>
      <c r="J79" s="106"/>
      <c r="K79" s="107"/>
      <c r="L79" s="105">
        <f>L73/L12</f>
        <v>0.20617167434902509</v>
      </c>
      <c r="M79" s="106" t="e">
        <f>M73/M12</f>
        <v>#DIV/0!</v>
      </c>
      <c r="N79" s="82"/>
      <c r="O79" s="105">
        <f>O73/O12</f>
        <v>0.20617167434902509</v>
      </c>
      <c r="P79" s="105">
        <f>P73/P12</f>
        <v>0.14623660193882068</v>
      </c>
      <c r="Q79" s="82"/>
      <c r="R79" s="106"/>
      <c r="S79" s="82"/>
      <c r="T79" s="105">
        <f>T73/T12</f>
        <v>0.15744700595575892</v>
      </c>
      <c r="U79" s="82"/>
      <c r="V79" s="105">
        <f>V73/V12</f>
        <v>0.1767273450218553</v>
      </c>
      <c r="W79" s="82"/>
    </row>
    <row r="80" spans="1:35" s="113" customFormat="1" ht="18" x14ac:dyDescent="0.3">
      <c r="A80" s="582"/>
      <c r="B80" s="123"/>
      <c r="C80" s="122"/>
      <c r="D80" s="121" t="s">
        <v>106</v>
      </c>
      <c r="E80" s="117"/>
      <c r="F80" s="120"/>
      <c r="G80" s="117"/>
      <c r="H80" s="119"/>
      <c r="I80" s="118"/>
      <c r="J80" s="116"/>
      <c r="K80" s="117"/>
      <c r="L80" s="115"/>
      <c r="M80" s="116"/>
      <c r="N80" s="114"/>
      <c r="O80" s="115"/>
      <c r="P80" s="115"/>
      <c r="Q80" s="114"/>
      <c r="R80" s="116"/>
      <c r="S80" s="114"/>
      <c r="T80" s="115"/>
      <c r="U80" s="114"/>
      <c r="V80" s="115"/>
      <c r="W80" s="114"/>
    </row>
    <row r="81" spans="1:24" s="81" customFormat="1" ht="18" x14ac:dyDescent="0.3">
      <c r="A81" s="582"/>
      <c r="B81" s="104"/>
      <c r="C81" s="103"/>
      <c r="D81" s="112" t="s">
        <v>107</v>
      </c>
      <c r="E81" s="107"/>
      <c r="F81" s="110"/>
      <c r="G81" s="107"/>
      <c r="H81" s="109"/>
      <c r="I81" s="108"/>
      <c r="J81" s="106"/>
      <c r="K81" s="107"/>
      <c r="L81" s="105"/>
      <c r="M81" s="106"/>
      <c r="N81" s="82"/>
      <c r="O81" s="105"/>
      <c r="P81" s="105"/>
      <c r="Q81" s="82"/>
      <c r="R81" s="106"/>
      <c r="S81" s="82"/>
      <c r="T81" s="105"/>
      <c r="U81" s="82"/>
      <c r="V81" s="105"/>
      <c r="W81" s="82"/>
    </row>
    <row r="82" spans="1:24" s="81" customFormat="1" ht="18" x14ac:dyDescent="0.3">
      <c r="A82" s="582"/>
      <c r="B82" s="104"/>
      <c r="C82" s="103"/>
      <c r="D82" s="111"/>
      <c r="E82" s="107"/>
      <c r="F82" s="110"/>
      <c r="G82" s="107"/>
      <c r="H82" s="109"/>
      <c r="I82" s="108"/>
      <c r="J82" s="106"/>
      <c r="K82" s="107"/>
      <c r="L82" s="105"/>
      <c r="M82" s="106"/>
      <c r="N82" s="82"/>
      <c r="O82" s="105"/>
      <c r="P82" s="105"/>
      <c r="Q82" s="82"/>
      <c r="R82" s="106"/>
      <c r="S82" s="82"/>
      <c r="T82" s="105"/>
      <c r="U82" s="82"/>
      <c r="V82" s="105"/>
      <c r="W82" s="82"/>
    </row>
    <row r="83" spans="1:24" s="81" customFormat="1" ht="18" x14ac:dyDescent="0.3">
      <c r="A83" s="582"/>
      <c r="B83" s="104"/>
      <c r="C83" s="103"/>
      <c r="D83" s="92" t="s">
        <v>108</v>
      </c>
      <c r="E83" s="102"/>
      <c r="F83" s="101"/>
      <c r="G83" s="98"/>
      <c r="H83" s="100"/>
      <c r="I83" s="99"/>
      <c r="J83" s="97"/>
      <c r="K83" s="98"/>
      <c r="L83" s="95"/>
      <c r="M83" s="97"/>
      <c r="N83" s="82"/>
      <c r="O83" s="95"/>
      <c r="P83" s="95"/>
      <c r="Q83" s="96"/>
      <c r="R83" s="97"/>
      <c r="S83" s="82"/>
      <c r="T83" s="95"/>
      <c r="U83" s="96"/>
      <c r="V83" s="95"/>
      <c r="W83" s="82"/>
    </row>
    <row r="84" spans="1:24" s="81" customFormat="1" ht="18" x14ac:dyDescent="0.3">
      <c r="A84" s="583"/>
      <c r="B84" s="94"/>
      <c r="C84" s="93"/>
      <c r="D84" s="92" t="s">
        <v>109</v>
      </c>
      <c r="E84" s="91"/>
      <c r="F84" s="90"/>
      <c r="G84" s="87"/>
      <c r="H84" s="89"/>
      <c r="I84" s="88"/>
      <c r="J84" s="85"/>
      <c r="K84" s="87"/>
      <c r="L84" s="83"/>
      <c r="M84" s="86"/>
      <c r="N84" s="82"/>
      <c r="O84" s="83"/>
      <c r="P84" s="83"/>
      <c r="Q84" s="84"/>
      <c r="R84" s="85"/>
      <c r="S84" s="82"/>
      <c r="T84" s="83"/>
      <c r="U84" s="84"/>
      <c r="V84" s="83"/>
      <c r="W84" s="82"/>
    </row>
    <row r="85" spans="1:24" s="60" customFormat="1" ht="12" x14ac:dyDescent="0.25">
      <c r="B85" s="78"/>
      <c r="C85" s="66"/>
      <c r="D85" s="57"/>
      <c r="E85" s="62"/>
      <c r="F85" s="65"/>
      <c r="G85" s="62"/>
      <c r="H85" s="64"/>
      <c r="I85" s="64"/>
      <c r="J85" s="54"/>
      <c r="K85" s="62"/>
      <c r="N85" s="62"/>
      <c r="S85" s="62"/>
      <c r="W85" s="62"/>
    </row>
    <row r="86" spans="1:24" s="60" customFormat="1" ht="12" x14ac:dyDescent="0.25">
      <c r="A86" s="80" t="s">
        <v>110</v>
      </c>
      <c r="B86" s="79"/>
      <c r="C86" s="66"/>
      <c r="D86" s="57"/>
      <c r="E86" s="62"/>
      <c r="F86" s="65"/>
      <c r="G86" s="62"/>
      <c r="H86" s="64"/>
      <c r="I86" s="64"/>
      <c r="J86" s="54"/>
      <c r="K86" s="62"/>
      <c r="N86" s="62"/>
      <c r="S86" s="62"/>
      <c r="W86" s="62"/>
      <c r="X86" s="78"/>
    </row>
    <row r="87" spans="1:24" s="71" customFormat="1" ht="12" customHeight="1" x14ac:dyDescent="0.25">
      <c r="A87" s="77">
        <v>1</v>
      </c>
      <c r="B87" s="76"/>
      <c r="D87" s="75"/>
      <c r="E87" s="73"/>
      <c r="F87" s="73"/>
      <c r="G87" s="73"/>
      <c r="H87" s="73"/>
      <c r="I87" s="73"/>
      <c r="J87" s="74"/>
      <c r="K87" s="73"/>
      <c r="L87" s="73"/>
      <c r="M87" s="73"/>
      <c r="N87" s="62"/>
      <c r="O87" s="73"/>
      <c r="P87" s="73"/>
      <c r="Q87" s="73"/>
      <c r="R87" s="73"/>
      <c r="S87" s="62"/>
      <c r="T87" s="73"/>
      <c r="U87" s="73"/>
      <c r="V87" s="73"/>
      <c r="W87" s="62"/>
      <c r="X87" s="72"/>
    </row>
    <row r="88" spans="1:24" s="60" customFormat="1" ht="12" x14ac:dyDescent="0.25">
      <c r="A88" s="70">
        <v>2</v>
      </c>
      <c r="B88" s="69"/>
      <c r="D88" s="57"/>
      <c r="E88" s="62"/>
      <c r="F88" s="65"/>
      <c r="G88" s="62"/>
      <c r="H88" s="64"/>
      <c r="I88" s="64"/>
      <c r="J88" s="54"/>
      <c r="K88" s="62"/>
      <c r="N88" s="62"/>
      <c r="S88" s="62"/>
      <c r="W88" s="62"/>
      <c r="X88" s="61"/>
    </row>
    <row r="89" spans="1:24" s="60" customFormat="1" ht="12" x14ac:dyDescent="0.25">
      <c r="A89" s="70"/>
      <c r="B89" s="69"/>
      <c r="D89" s="57"/>
      <c r="E89" s="62"/>
      <c r="F89" s="65"/>
      <c r="G89" s="62"/>
      <c r="H89" s="64"/>
      <c r="I89" s="64"/>
      <c r="J89" s="54"/>
      <c r="K89" s="62"/>
      <c r="N89" s="62"/>
      <c r="S89" s="62"/>
      <c r="W89" s="62"/>
      <c r="X89" s="61"/>
    </row>
    <row r="90" spans="1:24" s="60" customFormat="1" ht="12" x14ac:dyDescent="0.25">
      <c r="A90" s="70"/>
      <c r="B90" s="69"/>
      <c r="D90" s="57"/>
      <c r="E90" s="62"/>
      <c r="F90" s="65"/>
      <c r="G90" s="62"/>
      <c r="H90" s="64"/>
      <c r="I90" s="64"/>
      <c r="J90" s="54"/>
      <c r="K90" s="62"/>
      <c r="N90" s="62"/>
      <c r="S90" s="62"/>
      <c r="W90" s="62"/>
      <c r="X90" s="61"/>
    </row>
    <row r="91" spans="1:24" s="60" customFormat="1" ht="12" x14ac:dyDescent="0.25">
      <c r="A91" s="70"/>
      <c r="B91" s="69"/>
      <c r="D91" s="57"/>
      <c r="E91" s="62"/>
      <c r="F91" s="65"/>
      <c r="G91" s="62"/>
      <c r="H91" s="64"/>
      <c r="I91" s="64"/>
      <c r="J91" s="54"/>
      <c r="K91" s="62"/>
      <c r="N91" s="62"/>
      <c r="S91" s="62"/>
      <c r="W91" s="62"/>
      <c r="X91" s="61"/>
    </row>
    <row r="92" spans="1:24" s="60" customFormat="1" ht="12" x14ac:dyDescent="0.25">
      <c r="A92" s="70"/>
      <c r="B92" s="69"/>
      <c r="D92" s="57"/>
      <c r="E92" s="62"/>
      <c r="F92" s="65"/>
      <c r="G92" s="62"/>
      <c r="H92" s="64"/>
      <c r="I92" s="64"/>
      <c r="J92" s="54"/>
      <c r="K92" s="62"/>
      <c r="N92" s="62"/>
      <c r="S92" s="62"/>
      <c r="W92" s="62"/>
      <c r="X92" s="61"/>
    </row>
    <row r="93" spans="1:24" s="60" customFormat="1" ht="12" x14ac:dyDescent="0.25">
      <c r="A93" s="70"/>
      <c r="B93" s="69"/>
      <c r="D93" s="57"/>
      <c r="E93" s="62"/>
      <c r="F93" s="65"/>
      <c r="G93" s="62"/>
      <c r="H93" s="64"/>
      <c r="I93" s="64"/>
      <c r="J93" s="54"/>
      <c r="K93" s="62"/>
      <c r="N93" s="62"/>
      <c r="S93" s="62"/>
      <c r="W93" s="62"/>
      <c r="X93" s="61"/>
    </row>
    <row r="94" spans="1:24" s="60" customFormat="1" ht="12" x14ac:dyDescent="0.25">
      <c r="A94" s="70"/>
      <c r="B94" s="69"/>
      <c r="D94" s="57"/>
      <c r="E94" s="62"/>
      <c r="F94" s="65"/>
      <c r="G94" s="62"/>
      <c r="H94" s="64"/>
      <c r="I94" s="64"/>
      <c r="J94" s="54"/>
      <c r="K94" s="62"/>
      <c r="N94" s="62"/>
      <c r="S94" s="62"/>
      <c r="W94" s="62"/>
      <c r="X94" s="61"/>
    </row>
    <row r="95" spans="1:24" s="60" customFormat="1" ht="12" x14ac:dyDescent="0.25">
      <c r="A95" s="70"/>
      <c r="B95" s="69"/>
      <c r="D95" s="57"/>
      <c r="E95" s="62"/>
      <c r="F95" s="65"/>
      <c r="G95" s="62"/>
      <c r="H95" s="64"/>
      <c r="I95" s="64"/>
      <c r="J95" s="54"/>
      <c r="K95" s="62"/>
      <c r="N95" s="62"/>
      <c r="S95" s="62"/>
      <c r="W95" s="62"/>
      <c r="X95" s="61"/>
    </row>
    <row r="96" spans="1:24" s="60" customFormat="1" ht="12" x14ac:dyDescent="0.25">
      <c r="A96" s="70"/>
      <c r="B96" s="69"/>
      <c r="D96" s="57"/>
      <c r="E96" s="62"/>
      <c r="F96" s="65"/>
      <c r="G96" s="62"/>
      <c r="H96" s="64"/>
      <c r="I96" s="64"/>
      <c r="J96" s="54"/>
      <c r="K96" s="62"/>
      <c r="N96" s="62"/>
      <c r="S96" s="62"/>
      <c r="W96" s="62"/>
      <c r="X96" s="61"/>
    </row>
    <row r="97" spans="1:24" s="60" customFormat="1" ht="12" x14ac:dyDescent="0.25">
      <c r="A97" s="70"/>
      <c r="B97" s="69"/>
      <c r="D97" s="57"/>
      <c r="E97" s="62"/>
      <c r="F97" s="65"/>
      <c r="G97" s="62"/>
      <c r="H97" s="64"/>
      <c r="I97" s="64"/>
      <c r="J97" s="54"/>
      <c r="K97" s="62"/>
      <c r="N97" s="62"/>
      <c r="S97" s="62"/>
      <c r="W97" s="62"/>
      <c r="X97" s="61"/>
    </row>
    <row r="98" spans="1:24" s="60" customFormat="1" ht="12" x14ac:dyDescent="0.25">
      <c r="A98" s="70"/>
      <c r="B98" s="69"/>
      <c r="D98" s="57"/>
      <c r="E98" s="62"/>
      <c r="F98" s="65"/>
      <c r="G98" s="62"/>
      <c r="H98" s="64"/>
      <c r="I98" s="64"/>
      <c r="J98" s="54"/>
      <c r="K98" s="62"/>
      <c r="N98" s="62"/>
      <c r="S98" s="62"/>
      <c r="W98" s="62"/>
      <c r="X98" s="61"/>
    </row>
    <row r="99" spans="1:24" s="60" customFormat="1" ht="12" x14ac:dyDescent="0.25">
      <c r="A99" s="70"/>
      <c r="B99" s="69"/>
      <c r="D99" s="57"/>
      <c r="E99" s="62"/>
      <c r="F99" s="65"/>
      <c r="G99" s="62"/>
      <c r="H99" s="64"/>
      <c r="I99" s="64"/>
      <c r="J99" s="54"/>
      <c r="K99" s="62"/>
      <c r="N99" s="62"/>
      <c r="S99" s="62"/>
      <c r="W99" s="62"/>
      <c r="X99" s="61"/>
    </row>
    <row r="100" spans="1:24" s="60" customFormat="1" ht="12" x14ac:dyDescent="0.25">
      <c r="A100" s="70"/>
      <c r="B100" s="69"/>
      <c r="D100" s="57"/>
      <c r="E100" s="62"/>
      <c r="F100" s="65"/>
      <c r="G100" s="62"/>
      <c r="H100" s="64"/>
      <c r="I100" s="64"/>
      <c r="J100" s="54"/>
      <c r="K100" s="62"/>
      <c r="N100" s="62"/>
      <c r="S100" s="62"/>
      <c r="W100" s="62"/>
      <c r="X100" s="61"/>
    </row>
    <row r="101" spans="1:24" s="60" customFormat="1" ht="12" x14ac:dyDescent="0.25">
      <c r="A101" s="68" t="s">
        <v>111</v>
      </c>
      <c r="B101" s="67"/>
      <c r="C101" s="66"/>
      <c r="D101" s="57"/>
      <c r="E101" s="62"/>
      <c r="F101" s="65"/>
      <c r="G101" s="62"/>
      <c r="H101" s="64"/>
      <c r="I101" s="64"/>
      <c r="J101" s="54"/>
      <c r="K101" s="62"/>
      <c r="N101" s="62"/>
      <c r="S101" s="62"/>
      <c r="W101" s="62"/>
      <c r="X101" s="61"/>
    </row>
    <row r="102" spans="1:24" s="60" customFormat="1" ht="93" customHeight="1" x14ac:dyDescent="0.25">
      <c r="A102" s="584"/>
      <c r="B102" s="585"/>
      <c r="C102" s="585"/>
      <c r="D102" s="585"/>
      <c r="E102" s="585"/>
      <c r="F102" s="585"/>
      <c r="G102" s="585"/>
      <c r="H102" s="585"/>
      <c r="I102" s="585"/>
      <c r="J102" s="585"/>
      <c r="K102" s="585"/>
      <c r="L102" s="585"/>
      <c r="M102" s="586"/>
      <c r="N102" s="62"/>
      <c r="O102" s="63"/>
      <c r="P102" s="63"/>
      <c r="Q102" s="63"/>
      <c r="R102" s="63"/>
      <c r="S102" s="62"/>
      <c r="T102" s="63"/>
      <c r="U102" s="63"/>
      <c r="V102" s="63"/>
      <c r="W102" s="62"/>
      <c r="X102" s="61"/>
    </row>
  </sheetData>
  <sheetProtection sheet="1" objects="1" scenarios="1"/>
  <mergeCells count="20">
    <mergeCell ref="A30:A66"/>
    <mergeCell ref="A68:A84"/>
    <mergeCell ref="A102:M102"/>
    <mergeCell ref="X4:X5"/>
    <mergeCell ref="H5:J5"/>
    <mergeCell ref="L5:M5"/>
    <mergeCell ref="O5:R5"/>
    <mergeCell ref="T5:V5"/>
    <mergeCell ref="H7:I7"/>
    <mergeCell ref="J7:J8"/>
    <mergeCell ref="L7:M7"/>
    <mergeCell ref="O7:R7"/>
    <mergeCell ref="T7:V7"/>
    <mergeCell ref="A10:A28"/>
    <mergeCell ref="F1:M1"/>
    <mergeCell ref="O1:V1"/>
    <mergeCell ref="H4:J4"/>
    <mergeCell ref="L4:M4"/>
    <mergeCell ref="O4:R4"/>
    <mergeCell ref="T4:V4"/>
  </mergeCells>
  <pageMargins left="0.23622047244094491" right="0.23622047244094491" top="0.35433070866141736" bottom="0.35433070866141736" header="0.31496062992125984" footer="0.31496062992125984"/>
  <pageSetup paperSize="9" scale="56"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
  <sheetViews>
    <sheetView workbookViewId="0">
      <selection activeCell="G5" sqref="G5:N5"/>
    </sheetView>
  </sheetViews>
  <sheetFormatPr defaultColWidth="11" defaultRowHeight="15.6" x14ac:dyDescent="0.3"/>
  <sheetData>
    <row r="1" spans="2:14" ht="16.2" thickBot="1" x14ac:dyDescent="0.35"/>
    <row r="2" spans="2:14" ht="40.200000000000003" thickBot="1" x14ac:dyDescent="0.35">
      <c r="B2" s="498" t="s">
        <v>155</v>
      </c>
      <c r="C2" s="499" t="s">
        <v>156</v>
      </c>
      <c r="D2" s="499" t="s">
        <v>157</v>
      </c>
      <c r="E2" s="499" t="s">
        <v>158</v>
      </c>
      <c r="F2" s="499" t="s">
        <v>159</v>
      </c>
      <c r="G2" s="500">
        <v>2015</v>
      </c>
      <c r="H2" s="500">
        <v>2016</v>
      </c>
      <c r="I2" s="500">
        <v>2017</v>
      </c>
      <c r="J2" s="500">
        <v>2018</v>
      </c>
      <c r="K2" s="500">
        <v>2019</v>
      </c>
      <c r="L2" s="500">
        <v>2020</v>
      </c>
      <c r="M2" s="500">
        <v>2021</v>
      </c>
      <c r="N2" s="501">
        <v>2022</v>
      </c>
    </row>
    <row r="3" spans="2:14" ht="16.2" thickBot="1" x14ac:dyDescent="0.35">
      <c r="B3" s="502" t="s">
        <v>160</v>
      </c>
      <c r="C3" s="494" t="s">
        <v>161</v>
      </c>
      <c r="D3" s="494" t="s">
        <v>162</v>
      </c>
      <c r="E3" s="494" t="s">
        <v>163</v>
      </c>
      <c r="F3" s="495"/>
      <c r="G3" s="496">
        <v>-44.335999999999999</v>
      </c>
      <c r="H3" s="497">
        <v>-378.26799999999997</v>
      </c>
      <c r="I3" s="497">
        <v>-507.65199999999999</v>
      </c>
      <c r="J3" s="497">
        <v>72.233999999999995</v>
      </c>
      <c r="K3" s="497">
        <v>77.198999999999998</v>
      </c>
      <c r="L3" s="497">
        <v>256.77600000000001</v>
      </c>
      <c r="M3" s="497">
        <v>409.33300000000003</v>
      </c>
      <c r="N3" s="503">
        <v>594.33299999999997</v>
      </c>
    </row>
    <row r="4" spans="2:14" ht="16.2" thickBot="1" x14ac:dyDescent="0.35">
      <c r="B4" s="504" t="s">
        <v>160</v>
      </c>
      <c r="C4" s="505" t="s">
        <v>164</v>
      </c>
      <c r="D4" s="505" t="s">
        <v>162</v>
      </c>
      <c r="E4" s="505" t="s">
        <v>163</v>
      </c>
      <c r="F4" s="506"/>
      <c r="G4" s="507">
        <v>66.727000000000004</v>
      </c>
      <c r="H4" s="508">
        <v>-275.447</v>
      </c>
      <c r="I4" s="508">
        <v>-251.102</v>
      </c>
      <c r="J4" s="508">
        <v>328.49799999999999</v>
      </c>
      <c r="K4" s="508">
        <v>488.35399999999998</v>
      </c>
      <c r="L4" s="508">
        <v>708.66499999999996</v>
      </c>
      <c r="M4" s="508">
        <v>883.56600000000003</v>
      </c>
      <c r="N4" s="509">
        <v>1082.8520000000001</v>
      </c>
    </row>
    <row r="5" spans="2:14" x14ac:dyDescent="0.3">
      <c r="G5">
        <f>(G4-G3)*1000</f>
        <v>111063</v>
      </c>
      <c r="H5">
        <f t="shared" ref="H5:N5" si="0">(H4-H3)*1000</f>
        <v>102820.99999999997</v>
      </c>
      <c r="I5">
        <f t="shared" si="0"/>
        <v>256549.99999999994</v>
      </c>
      <c r="J5">
        <f t="shared" si="0"/>
        <v>256264</v>
      </c>
      <c r="K5">
        <f t="shared" si="0"/>
        <v>411155</v>
      </c>
      <c r="L5">
        <f t="shared" si="0"/>
        <v>451888.99999999994</v>
      </c>
      <c r="M5">
        <f t="shared" si="0"/>
        <v>474233</v>
      </c>
      <c r="N5">
        <f t="shared" si="0"/>
        <v>488519.00000000012</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Reconstitution GPE</vt:lpstr>
      <vt:lpstr>Reconstitution GPE OK</vt:lpstr>
      <vt:lpstr>Tableau de comparaison</vt:lpstr>
      <vt:lpstr>Données 2016 du GPE</vt:lpstr>
      <vt:lpstr>Feuil1</vt:lpstr>
      <vt:lpstr>'Données 2016 du GPE'!Print_Area</vt:lpstr>
      <vt:lpstr>'Reconstitution GPE'!Print_Area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Paula Carolina Valenzuela</cp:lastModifiedBy>
  <cp:revision/>
  <dcterms:created xsi:type="dcterms:W3CDTF">2017-03-16T16:05:59Z</dcterms:created>
  <dcterms:modified xsi:type="dcterms:W3CDTF">2018-09-05T19:36:08Z</dcterms:modified>
</cp:coreProperties>
</file>